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\Documents\EVIP\EVIP 2023-2024\"/>
    </mc:Choice>
  </mc:AlternateContent>
  <xr:revisionPtr revIDLastSave="0" documentId="13_ncr:1_{78AC4DA2-EB26-4C20-921B-C3691A095935}" xr6:coauthVersionLast="47" xr6:coauthVersionMax="47" xr10:uidLastSave="{00000000-0000-0000-0000-000000000000}"/>
  <workbookProtection workbookPassword="C706" lockStructure="1"/>
  <bookViews>
    <workbookView xWindow="-120" yWindow="-120" windowWidth="29040" windowHeight="15720" xr2:uid="{00000000-000D-0000-FFFF-FFFF00000000}"/>
  </bookViews>
  <sheets>
    <sheet name="Dashboard" sheetId="4" r:id="rId1"/>
    <sheet name="Underlying data" sheetId="3" r:id="rId2"/>
  </sheets>
  <definedNames>
    <definedName name="_xlnm.Print_Area" localSheetId="0">Dashboard!$A$1:$G$22</definedName>
    <definedName name="_xlnm.Print_Area" localSheetId="1">'Underlying data'!$A$1:$E$146</definedName>
  </definedNames>
  <calcPr calcId="191029"/>
</workbook>
</file>

<file path=xl/calcChain.xml><?xml version="1.0" encoding="utf-8"?>
<calcChain xmlns="http://schemas.openxmlformats.org/spreadsheetml/2006/main">
  <c r="E20" i="4" l="1"/>
  <c r="E7" i="4"/>
  <c r="E5" i="4"/>
  <c r="E4" i="4"/>
  <c r="D4" i="4"/>
  <c r="D20" i="4"/>
  <c r="D7" i="4"/>
  <c r="D5" i="4"/>
  <c r="M138" i="3" l="1"/>
  <c r="N138" i="3"/>
  <c r="O138" i="3"/>
  <c r="P138" i="3"/>
  <c r="P130" i="3"/>
  <c r="P126" i="3"/>
  <c r="P117" i="3"/>
  <c r="P61" i="3"/>
  <c r="P27" i="3"/>
  <c r="P9" i="3"/>
  <c r="P6" i="3"/>
  <c r="O130" i="3"/>
  <c r="O126" i="3"/>
  <c r="O117" i="3"/>
  <c r="O61" i="3"/>
  <c r="O26" i="3"/>
  <c r="O27" i="3" s="1"/>
  <c r="O9" i="3"/>
  <c r="O6" i="3"/>
  <c r="I61" i="3"/>
  <c r="J61" i="3"/>
  <c r="K61" i="3"/>
  <c r="L61" i="3"/>
  <c r="M61" i="3"/>
  <c r="N61" i="3"/>
  <c r="N130" i="3" l="1"/>
  <c r="N126" i="3"/>
  <c r="N117" i="3"/>
  <c r="N26" i="3"/>
  <c r="N27" i="3" s="1"/>
  <c r="N9" i="3"/>
  <c r="N6" i="3"/>
  <c r="M117" i="3"/>
  <c r="M126" i="3"/>
  <c r="M130" i="3"/>
  <c r="M26" i="3"/>
  <c r="M27" i="3" s="1"/>
  <c r="M9" i="3" l="1"/>
  <c r="M6" i="3"/>
  <c r="D16" i="4"/>
  <c r="K138" i="3" l="1"/>
  <c r="K130" i="3"/>
  <c r="K126" i="3"/>
  <c r="K117" i="3"/>
  <c r="K26" i="3"/>
  <c r="K27" i="3" s="1"/>
  <c r="K9" i="3"/>
  <c r="K6" i="3"/>
  <c r="G26" i="3"/>
  <c r="H26" i="3"/>
  <c r="I26" i="3"/>
  <c r="I27" i="3" s="1"/>
  <c r="J26" i="3"/>
  <c r="J27" i="3" s="1"/>
  <c r="L26" i="3"/>
  <c r="L27" i="3" s="1"/>
  <c r="H27" i="3"/>
  <c r="E16" i="4"/>
  <c r="L138" i="3"/>
  <c r="L130" i="3"/>
  <c r="L126" i="3"/>
  <c r="L117" i="3"/>
  <c r="L9" i="3"/>
  <c r="L6" i="3"/>
  <c r="D8" i="4"/>
  <c r="D15" i="4"/>
  <c r="D17" i="4"/>
  <c r="D21" i="4"/>
  <c r="I138" i="3"/>
  <c r="I130" i="3"/>
  <c r="I126" i="3"/>
  <c r="I117" i="3"/>
  <c r="I9" i="3"/>
  <c r="I6" i="3"/>
  <c r="E8" i="4"/>
  <c r="J138" i="3"/>
  <c r="J130" i="3"/>
  <c r="F5" i="4" l="1"/>
  <c r="F7" i="4"/>
  <c r="G7" i="4"/>
  <c r="J126" i="3"/>
  <c r="J117" i="3"/>
  <c r="J9" i="3"/>
  <c r="J6" i="3"/>
  <c r="H138" i="3" l="1"/>
  <c r="H130" i="3"/>
  <c r="F20" i="4" s="1"/>
  <c r="H126" i="3"/>
  <c r="H117" i="3"/>
  <c r="H61" i="3"/>
  <c r="H21" i="3"/>
  <c r="H9" i="3"/>
  <c r="H6" i="3"/>
  <c r="G138" i="3"/>
  <c r="G130" i="3"/>
  <c r="G126" i="3"/>
  <c r="G117" i="3"/>
  <c r="G61" i="3"/>
  <c r="G21" i="3"/>
  <c r="G9" i="3"/>
  <c r="G6" i="3"/>
  <c r="E117" i="3"/>
  <c r="F117" i="3"/>
  <c r="D117" i="3"/>
  <c r="F138" i="3" l="1"/>
  <c r="F130" i="3"/>
  <c r="F126" i="3"/>
  <c r="F107" i="3"/>
  <c r="F103" i="3"/>
  <c r="F104" i="3" s="1"/>
  <c r="F97" i="3"/>
  <c r="F98" i="3" s="1"/>
  <c r="F91" i="3"/>
  <c r="F92" i="3" s="1"/>
  <c r="F85" i="3"/>
  <c r="F86" i="3" s="1"/>
  <c r="F79" i="3"/>
  <c r="F80" i="3" s="1"/>
  <c r="F73" i="3"/>
  <c r="F74" i="3" s="1"/>
  <c r="F66" i="3"/>
  <c r="F61" i="3"/>
  <c r="E12" i="4" s="1"/>
  <c r="F56" i="3"/>
  <c r="E10" i="4" s="1"/>
  <c r="F43" i="3"/>
  <c r="F38" i="3"/>
  <c r="F33" i="3"/>
  <c r="F26" i="3"/>
  <c r="F27" i="3" s="1"/>
  <c r="F19" i="3"/>
  <c r="F21" i="3" s="1"/>
  <c r="F9" i="3"/>
  <c r="F6" i="3"/>
  <c r="F108" i="3" l="1"/>
  <c r="F39" i="3"/>
  <c r="A22" i="4"/>
  <c r="A21" i="4"/>
  <c r="A20" i="4"/>
  <c r="A19" i="4"/>
  <c r="E17" i="4"/>
  <c r="F17" i="4" s="1"/>
  <c r="C17" i="4"/>
  <c r="B17" i="4"/>
  <c r="A17" i="4"/>
  <c r="A16" i="4"/>
  <c r="A15" i="4"/>
  <c r="A13" i="4"/>
  <c r="A12" i="4"/>
  <c r="A10" i="4"/>
  <c r="A9" i="4"/>
  <c r="A8" i="4"/>
  <c r="A7" i="4"/>
  <c r="A6" i="4"/>
  <c r="A5" i="4"/>
  <c r="A4" i="4"/>
  <c r="C2" i="4"/>
  <c r="B2" i="4"/>
  <c r="C138" i="3"/>
  <c r="C22" i="4" s="1"/>
  <c r="D138" i="3"/>
  <c r="D22" i="4" s="1"/>
  <c r="E138" i="3"/>
  <c r="E22" i="4" s="1"/>
  <c r="B138" i="3"/>
  <c r="B22" i="4" s="1"/>
  <c r="E21" i="4"/>
  <c r="C134" i="3"/>
  <c r="C21" i="4" s="1"/>
  <c r="B134" i="3"/>
  <c r="B21" i="4" s="1"/>
  <c r="C130" i="3"/>
  <c r="C20" i="4" s="1"/>
  <c r="D130" i="3"/>
  <c r="E130" i="3"/>
  <c r="B130" i="3"/>
  <c r="B20" i="4" s="1"/>
  <c r="C126" i="3"/>
  <c r="C19" i="4" s="1"/>
  <c r="D126" i="3"/>
  <c r="D19" i="4" s="1"/>
  <c r="E126" i="3"/>
  <c r="E19" i="4" s="1"/>
  <c r="B126" i="3"/>
  <c r="B19" i="4" s="1"/>
  <c r="C117" i="3"/>
  <c r="C16" i="4" s="1"/>
  <c r="B117" i="3"/>
  <c r="B16" i="4" s="1"/>
  <c r="C113" i="3"/>
  <c r="C15" i="4" s="1"/>
  <c r="E15" i="4"/>
  <c r="B113" i="3"/>
  <c r="B15" i="4" s="1"/>
  <c r="C66" i="3"/>
  <c r="D66" i="3"/>
  <c r="E66" i="3"/>
  <c r="B66" i="3"/>
  <c r="C61" i="3"/>
  <c r="C12" i="4" s="1"/>
  <c r="D61" i="3"/>
  <c r="E61" i="3"/>
  <c r="D12" i="4" s="1"/>
  <c r="B61" i="3"/>
  <c r="B12" i="4" s="1"/>
  <c r="C90" i="3"/>
  <c r="E107" i="3"/>
  <c r="D107" i="3"/>
  <c r="C107" i="3"/>
  <c r="B107" i="3"/>
  <c r="B74" i="3" s="1"/>
  <c r="E103" i="3"/>
  <c r="E104" i="3" s="1"/>
  <c r="D103" i="3"/>
  <c r="D104" i="3" s="1"/>
  <c r="C103" i="3"/>
  <c r="C104" i="3" s="1"/>
  <c r="B103" i="3"/>
  <c r="B104" i="3" s="1"/>
  <c r="E97" i="3"/>
  <c r="E98" i="3" s="1"/>
  <c r="D97" i="3"/>
  <c r="D98" i="3" s="1"/>
  <c r="C97" i="3"/>
  <c r="C98" i="3" s="1"/>
  <c r="B97" i="3"/>
  <c r="B98" i="3" s="1"/>
  <c r="C89" i="3"/>
  <c r="C83" i="3"/>
  <c r="C85" i="3" s="1"/>
  <c r="C77" i="3"/>
  <c r="C79" i="3" s="1"/>
  <c r="E79" i="3"/>
  <c r="E80" i="3" s="1"/>
  <c r="C71" i="3"/>
  <c r="B91" i="3"/>
  <c r="B85" i="3"/>
  <c r="B79" i="3"/>
  <c r="B73" i="3"/>
  <c r="E38" i="3"/>
  <c r="D38" i="3"/>
  <c r="C38" i="3"/>
  <c r="C39" i="3" s="1"/>
  <c r="C8" i="4" s="1"/>
  <c r="B38" i="3"/>
  <c r="C56" i="3"/>
  <c r="C10" i="4" s="1"/>
  <c r="D56" i="3"/>
  <c r="E56" i="3"/>
  <c r="D10" i="4" s="1"/>
  <c r="B56" i="3"/>
  <c r="B10" i="4" s="1"/>
  <c r="C43" i="3"/>
  <c r="C9" i="4" s="1"/>
  <c r="D43" i="3"/>
  <c r="E43" i="3"/>
  <c r="B43" i="3"/>
  <c r="B9" i="4" s="1"/>
  <c r="B33" i="3"/>
  <c r="C33" i="3"/>
  <c r="D33" i="3"/>
  <c r="E33" i="3"/>
  <c r="E26" i="3"/>
  <c r="D26" i="3"/>
  <c r="C26" i="3"/>
  <c r="C27" i="3" s="1"/>
  <c r="C7" i="4" s="1"/>
  <c r="B26" i="3"/>
  <c r="B27" i="3" s="1"/>
  <c r="B7" i="4" s="1"/>
  <c r="D18" i="3"/>
  <c r="C18" i="3"/>
  <c r="B18" i="3"/>
  <c r="C14" i="3"/>
  <c r="B14" i="3"/>
  <c r="C9" i="3"/>
  <c r="C5" i="4" s="1"/>
  <c r="D9" i="3"/>
  <c r="E9" i="3"/>
  <c r="B9" i="3"/>
  <c r="B5" i="4" s="1"/>
  <c r="C6" i="3"/>
  <c r="C4" i="4" s="1"/>
  <c r="D6" i="3"/>
  <c r="E6" i="3"/>
  <c r="B6" i="3"/>
  <c r="B4" i="4" s="1"/>
  <c r="E73" i="3"/>
  <c r="E74" i="3" s="1"/>
  <c r="D73" i="3"/>
  <c r="D74" i="3" s="1"/>
  <c r="C73" i="3"/>
  <c r="E91" i="3"/>
  <c r="E92" i="3" s="1"/>
  <c r="D79" i="3"/>
  <c r="D91" i="3"/>
  <c r="E19" i="3"/>
  <c r="E21" i="3" s="1"/>
  <c r="E6" i="4" s="1"/>
  <c r="D19" i="3"/>
  <c r="D21" i="3" s="1"/>
  <c r="D6" i="4" s="1"/>
  <c r="E85" i="3"/>
  <c r="E86" i="3" s="1"/>
  <c r="D85" i="3"/>
  <c r="B39" i="3" l="1"/>
  <c r="B8" i="4" s="1"/>
  <c r="B19" i="3"/>
  <c r="B21" i="3" s="1"/>
  <c r="B6" i="4" s="1"/>
  <c r="C19" i="3"/>
  <c r="C21" i="3" s="1"/>
  <c r="C6" i="4" s="1"/>
  <c r="B86" i="3"/>
  <c r="B80" i="3"/>
  <c r="C74" i="3"/>
  <c r="B92" i="3"/>
  <c r="C80" i="3"/>
  <c r="C91" i="3"/>
  <c r="C92" i="3" s="1"/>
  <c r="C86" i="3"/>
  <c r="F6" i="4"/>
  <c r="D9" i="4"/>
  <c r="E9" i="4"/>
  <c r="E39" i="3"/>
  <c r="D39" i="3"/>
  <c r="E108" i="3"/>
  <c r="E27" i="3"/>
  <c r="D27" i="3"/>
  <c r="D86" i="3"/>
  <c r="D80" i="3"/>
  <c r="D92" i="3"/>
  <c r="G17" i="4"/>
  <c r="F12" i="4"/>
  <c r="F10" i="4"/>
  <c r="G5" i="4"/>
  <c r="F4" i="4"/>
  <c r="F16" i="4"/>
  <c r="G15" i="4"/>
  <c r="F15" i="4"/>
  <c r="F21" i="4"/>
  <c r="G19" i="4"/>
  <c r="G20" i="4"/>
  <c r="G4" i="4"/>
  <c r="G6" i="4"/>
  <c r="G10" i="4"/>
  <c r="G12" i="4"/>
  <c r="G16" i="4"/>
  <c r="F19" i="4"/>
  <c r="G21" i="4"/>
  <c r="B108" i="3" l="1"/>
  <c r="B13" i="4" s="1"/>
  <c r="C108" i="3"/>
  <c r="C13" i="4" s="1"/>
  <c r="D108" i="3"/>
  <c r="F13" i="4" s="1"/>
  <c r="G13" i="4" l="1"/>
</calcChain>
</file>

<file path=xl/sharedStrings.xml><?xml version="1.0" encoding="utf-8"?>
<sst xmlns="http://schemas.openxmlformats.org/spreadsheetml/2006/main" count="263" uniqueCount="131">
  <si>
    <t>Fiscal Stability</t>
  </si>
  <si>
    <t>Economic Strength</t>
  </si>
  <si>
    <t>Public Safety</t>
  </si>
  <si>
    <t>Quality of Life</t>
  </si>
  <si>
    <t>Debt burden per capita</t>
  </si>
  <si>
    <t>% of community with access to high speed broadband</t>
  </si>
  <si>
    <t>Unfunded OPEB  liability as a % of annual GF revenue</t>
  </si>
  <si>
    <t>Fund Balance as % of Annual GF Expenditures</t>
  </si>
  <si>
    <t>Annual GF Expenditures per capita</t>
  </si>
  <si>
    <t>Ratio of road funding to total GF expenditures</t>
  </si>
  <si>
    <t>Number of services delivered via cooperative venture</t>
  </si>
  <si>
    <t>Violent crimes per thousand</t>
  </si>
  <si>
    <t>Miles of sidewalks and non-motorized paths/trails as a factor of total miles of local/major road streets</t>
  </si>
  <si>
    <t>Average age of critical infrastructure (years)</t>
  </si>
  <si>
    <t>Percent of community being provided with curbside recycling</t>
  </si>
  <si>
    <t>Traffic injuries or fatalities</t>
  </si>
  <si>
    <t>Utilize the most recent audited financial statements as the source data.</t>
  </si>
  <si>
    <t>All reported data may be footnoted to explain the reported scores</t>
  </si>
  <si>
    <t>Communities may report other measures for each category that are unique or important to their community</t>
  </si>
  <si>
    <t>What percent of a community has access to, not necessarily utilizing, curbside recycling</t>
  </si>
  <si>
    <t>Report the number of acres of total parkland, developed and undeveloped, and utilize the most recent census or other recognized population estimate such as Semcog.</t>
  </si>
  <si>
    <t>Utilize the most recent audited act 51 reports as the source data.</t>
  </si>
  <si>
    <t>Data should be updated at least annually, but communities are encouraged to update the dashboards more frequently.</t>
  </si>
  <si>
    <t>Report from the UD 10.  The information on the UD10 does not distinguish between serious injury and minor injury</t>
  </si>
  <si>
    <t>Percent of GF Expenditures Committed to Arts, Culture and Recreation</t>
  </si>
  <si>
    <t xml:space="preserve">      Report consistent with the Michigan Incident Crime Reporting guidelines</t>
  </si>
  <si>
    <t xml:space="preserve">Is an increase "Good, Bad, or Neutral? </t>
  </si>
  <si>
    <t xml:space="preserve"> </t>
  </si>
  <si>
    <t>Bad</t>
  </si>
  <si>
    <t>Good</t>
  </si>
  <si>
    <t>threshhold for Good or Bad change</t>
  </si>
  <si>
    <t>Performance</t>
  </si>
  <si>
    <t>Neutral</t>
  </si>
  <si>
    <t>Population</t>
  </si>
  <si>
    <t>General Fund Expenditures</t>
  </si>
  <si>
    <t>Comments</t>
  </si>
  <si>
    <t>Alternatively, you might consider using All Governmental funds' spending per capita</t>
  </si>
  <si>
    <t>Expenditures per capita</t>
  </si>
  <si>
    <t xml:space="preserve">Fund Balance </t>
  </si>
  <si>
    <t>Alternatively, you couild use "Unreserved" Fund Balance.</t>
  </si>
  <si>
    <t>2011</t>
  </si>
  <si>
    <t>2009</t>
  </si>
  <si>
    <t>2008</t>
  </si>
  <si>
    <t>OPEB funding:</t>
  </si>
  <si>
    <t>Actuarial value of assets</t>
  </si>
  <si>
    <t>Actuarial accrued liability</t>
  </si>
  <si>
    <t>General Fund revenue</t>
  </si>
  <si>
    <t>Total direct debt</t>
  </si>
  <si>
    <t>Alternatively, you could include just OPEB.</t>
  </si>
  <si>
    <t>Unfunded Pension &amp; Retiree health care liability, as a % of annual GF revenue</t>
  </si>
  <si>
    <t>Pension funding:</t>
  </si>
  <si>
    <t>Overfunded (Unfunded)</t>
  </si>
  <si>
    <t>Combined overfunding (underfunding)</t>
  </si>
  <si>
    <t>Total direct debt, from the FS:</t>
  </si>
  <si>
    <t>Bonds, notes &amp; contracts payable</t>
  </si>
  <si>
    <t>Capital leases</t>
  </si>
  <si>
    <t>Road expenditures:</t>
  </si>
  <si>
    <t>Major streets fund</t>
  </si>
  <si>
    <t>Local streets fund</t>
  </si>
  <si>
    <t>Municipal streets fund</t>
  </si>
  <si>
    <t>Total road expenditures</t>
  </si>
  <si>
    <t>Number of current active employees</t>
  </si>
  <si>
    <t>Ratio</t>
  </si>
  <si>
    <t>Number of retirees participating in the DB pension systems</t>
  </si>
  <si>
    <t>Library</t>
  </si>
  <si>
    <t>Dispatch</t>
  </si>
  <si>
    <t>Building inspections</t>
  </si>
  <si>
    <t>Recreation</t>
  </si>
  <si>
    <t>Finance dept. consolidation</t>
  </si>
  <si>
    <t>Assessing</t>
  </si>
  <si>
    <t>Fire</t>
  </si>
  <si>
    <t>Police</t>
  </si>
  <si>
    <t>Other:</t>
  </si>
  <si>
    <t>Totals</t>
  </si>
  <si>
    <t>X</t>
  </si>
  <si>
    <t>List the individual services delivered via cooperative venture:    (place an "X" in each year the services were delivered cooperatively)</t>
  </si>
  <si>
    <t>Percentage of road funding provided by the General Fund</t>
  </si>
  <si>
    <t>Transfers from the General Fund into:</t>
  </si>
  <si>
    <t>Total General Fund funding</t>
  </si>
  <si>
    <t xml:space="preserve">Ratio of pensioners to employees </t>
  </si>
  <si>
    <t>Report consistent with the most current census data.</t>
  </si>
  <si>
    <t>Alternative: % of High school graduates going to college (data point is available from the local school district).</t>
  </si>
  <si>
    <t xml:space="preserve">% of community age 25+ with Bachelor's Degree or higher. </t>
  </si>
  <si>
    <t>% with access (not how many residents are actively utilizing the service).</t>
  </si>
  <si>
    <t>Sewer lines</t>
  </si>
  <si>
    <t>Water lines</t>
  </si>
  <si>
    <t>Historical cost</t>
  </si>
  <si>
    <t>Accumulated depreciation</t>
  </si>
  <si>
    <t>Roads</t>
  </si>
  <si>
    <t>Average depreciable life (in years)</t>
  </si>
  <si>
    <t>Average age</t>
  </si>
  <si>
    <t>component of the weighted average</t>
  </si>
  <si>
    <t>Storm drains</t>
  </si>
  <si>
    <t>Weighted average:</t>
  </si>
  <si>
    <t>Total cost of critical infrastructure</t>
  </si>
  <si>
    <t>Average age of critical infrastructure</t>
  </si>
  <si>
    <t>Number of homes</t>
  </si>
  <si>
    <t>Number of homes passed by highspeed internet</t>
  </si>
  <si>
    <t>% of homes with access to high speed boradband</t>
  </si>
  <si>
    <t>Population aged 25 and over</t>
  </si>
  <si>
    <t>Number with Bachelor's degree or higher</t>
  </si>
  <si>
    <t>% of community age 25+ with bachelor's degree or higher</t>
  </si>
  <si>
    <t xml:space="preserve">  Buildings need not be reported.</t>
  </si>
  <si>
    <t xml:space="preserve">Violent crimes </t>
  </si>
  <si>
    <t xml:space="preserve">Property crimes </t>
  </si>
  <si>
    <t>Traffic  incidents form the UD - 10</t>
  </si>
  <si>
    <t>Miles of sidewalks and non-motorized paths/trails</t>
  </si>
  <si>
    <t>Total miles of local/major road streets</t>
  </si>
  <si>
    <t>Arts, recreation &amp; culture expenditures</t>
  </si>
  <si>
    <t>Acres of parks</t>
  </si>
  <si>
    <t>Population where curbside recycling is offered</t>
  </si>
  <si>
    <t>We suggest you "Hide" this tab before publishing the Excel file to your web site.</t>
  </si>
  <si>
    <t>Trend</t>
  </si>
  <si>
    <t>Hide columns H &amp; I  before publishing. Also hide the underlying data tab</t>
  </si>
  <si>
    <t>x</t>
  </si>
  <si>
    <t>Property crimes per hundred</t>
  </si>
  <si>
    <t>Village of Clifford - Performance Dashboard</t>
  </si>
  <si>
    <t>Acres of park</t>
  </si>
  <si>
    <t>Property crimes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</si>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</sst>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_);_(@_)"/>
    <numFmt numFmtId="167" formatCode="_(* #,##0.0_);_(* \(#,##0.0\);_(* &quot;-&quot;?_);_(@_)"/>
    <numFmt numFmtId="168" formatCode="_(* #,##0.000_);_(* \(#,##0.000\);_(* &quot;-&quot;??_);_(@_)"/>
    <numFmt numFmtId="169" formatCode="#,##0.0000_);\(#,##0.0000\)"/>
    <numFmt numFmtId="170" formatCode="_(* #,##0.0000_);_(* \(#,##0.0000\);_(* &quot;-&quot;?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52F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41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41" fontId="0" fillId="0" borderId="0" xfId="0"/>
    <xf numFmtId="41" fontId="2" fillId="2" borderId="1" xfId="0" applyFont="1" applyFill="1" applyBorder="1"/>
    <xf numFmtId="41" fontId="2" fillId="2" borderId="1" xfId="0" applyFont="1" applyFill="1" applyBorder="1" applyAlignment="1">
      <alignment wrapText="1"/>
    </xf>
    <xf numFmtId="41" fontId="3" fillId="0" borderId="0" xfId="0" applyFont="1" applyAlignment="1">
      <alignment wrapText="1"/>
    </xf>
    <xf numFmtId="41" fontId="3" fillId="0" borderId="0" xfId="0" applyFont="1"/>
    <xf numFmtId="41" fontId="3" fillId="2" borderId="0" xfId="0" applyFont="1" applyFill="1"/>
    <xf numFmtId="41" fontId="4" fillId="2" borderId="2" xfId="0" applyFont="1" applyFill="1" applyBorder="1" applyAlignment="1">
      <alignment horizontal="center"/>
    </xf>
    <xf numFmtId="41" fontId="2" fillId="3" borderId="1" xfId="0" applyFont="1" applyFill="1" applyBorder="1" applyAlignment="1">
      <alignment wrapText="1"/>
    </xf>
    <xf numFmtId="9" fontId="2" fillId="2" borderId="1" xfId="2" applyFont="1" applyFill="1" applyBorder="1"/>
    <xf numFmtId="41" fontId="3" fillId="0" borderId="1" xfId="0" applyFont="1" applyBorder="1"/>
    <xf numFmtId="41" fontId="2" fillId="4" borderId="1" xfId="0" applyFont="1" applyFill="1" applyBorder="1" applyAlignment="1">
      <alignment wrapText="1"/>
    </xf>
    <xf numFmtId="41" fontId="2" fillId="5" borderId="1" xfId="0" applyFont="1" applyFill="1" applyBorder="1" applyAlignment="1">
      <alignment wrapText="1"/>
    </xf>
    <xf numFmtId="41" fontId="2" fillId="6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1" fontId="3" fillId="2" borderId="0" xfId="0" applyFont="1" applyFill="1" applyAlignment="1">
      <alignment wrapText="1"/>
    </xf>
    <xf numFmtId="9" fontId="2" fillId="0" borderId="1" xfId="2" applyFont="1" applyBorder="1"/>
    <xf numFmtId="44" fontId="3" fillId="0" borderId="0" xfId="1" applyFont="1"/>
    <xf numFmtId="41" fontId="5" fillId="0" borderId="0" xfId="0" applyFont="1"/>
    <xf numFmtId="41" fontId="0" fillId="7" borderId="0" xfId="0" applyFill="1"/>
    <xf numFmtId="41" fontId="2" fillId="7" borderId="0" xfId="0" applyFont="1" applyFill="1" applyAlignment="1">
      <alignment horizontal="left" wrapText="1"/>
    </xf>
    <xf numFmtId="44" fontId="2" fillId="7" borderId="0" xfId="1" applyFont="1" applyFill="1" applyAlignment="1">
      <alignment horizontal="left" wrapText="1"/>
    </xf>
    <xf numFmtId="164" fontId="2" fillId="2" borderId="1" xfId="2" applyNumberFormat="1" applyFont="1" applyFill="1" applyBorder="1" applyAlignment="1">
      <alignment vertical="center"/>
    </xf>
    <xf numFmtId="165" fontId="2" fillId="0" borderId="1" xfId="0" applyNumberFormat="1" applyFont="1" applyBorder="1"/>
    <xf numFmtId="164" fontId="2" fillId="2" borderId="1" xfId="2" applyNumberFormat="1" applyFont="1" applyFill="1" applyBorder="1" applyAlignment="1">
      <alignment horizontal="right"/>
    </xf>
    <xf numFmtId="43" fontId="2" fillId="2" borderId="1" xfId="0" applyNumberFormat="1" applyFont="1" applyFill="1" applyBorder="1"/>
    <xf numFmtId="49" fontId="6" fillId="0" borderId="0" xfId="0" applyNumberFormat="1" applyFont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1" fontId="0" fillId="0" borderId="0" xfId="0" applyAlignment="1">
      <alignment horizontal="left" indent="1"/>
    </xf>
    <xf numFmtId="41" fontId="0" fillId="0" borderId="0" xfId="0" applyAlignment="1">
      <alignment horizontal="left" indent="2"/>
    </xf>
    <xf numFmtId="41" fontId="0" fillId="0" borderId="3" xfId="0" applyBorder="1"/>
    <xf numFmtId="41" fontId="0" fillId="0" borderId="0" xfId="0" applyAlignment="1">
      <alignment horizontal="left" indent="3"/>
    </xf>
    <xf numFmtId="41" fontId="0" fillId="0" borderId="4" xfId="0" applyBorder="1"/>
    <xf numFmtId="43" fontId="0" fillId="0" borderId="4" xfId="0" applyNumberFormat="1" applyBorder="1"/>
    <xf numFmtId="9" fontId="1" fillId="0" borderId="4" xfId="2" applyFont="1" applyBorder="1"/>
    <xf numFmtId="164" fontId="1" fillId="0" borderId="4" xfId="2" applyNumberFormat="1" applyFont="1" applyBorder="1"/>
    <xf numFmtId="41" fontId="2" fillId="2" borderId="1" xfId="0" applyFont="1" applyFill="1" applyBorder="1" applyAlignment="1">
      <alignment horizontal="center" wrapText="1"/>
    </xf>
    <xf numFmtId="41" fontId="2" fillId="0" borderId="5" xfId="0" applyFont="1" applyBorder="1" applyAlignment="1">
      <alignment horizontal="center" wrapText="1"/>
    </xf>
    <xf numFmtId="41" fontId="0" fillId="0" borderId="0" xfId="0" applyAlignment="1">
      <alignment horizontal="left"/>
    </xf>
    <xf numFmtId="164" fontId="0" fillId="0" borderId="4" xfId="0" applyNumberFormat="1" applyBorder="1"/>
    <xf numFmtId="41" fontId="4" fillId="2" borderId="2" xfId="0" applyFont="1" applyFill="1" applyBorder="1"/>
    <xf numFmtId="164" fontId="2" fillId="2" borderId="1" xfId="1" applyNumberFormat="1" applyFont="1" applyFill="1" applyBorder="1" applyAlignment="1"/>
    <xf numFmtId="44" fontId="3" fillId="0" borderId="0" xfId="1" applyFont="1" applyAlignment="1"/>
    <xf numFmtId="41" fontId="2" fillId="4" borderId="1" xfId="0" applyFont="1" applyFill="1" applyBorder="1" applyAlignment="1">
      <alignment horizontal="center" wrapText="1"/>
    </xf>
    <xf numFmtId="41" fontId="7" fillId="0" borderId="0" xfId="0" applyFont="1" applyAlignment="1">
      <alignment horizontal="left" indent="3"/>
    </xf>
    <xf numFmtId="166" fontId="0" fillId="0" borderId="4" xfId="0" applyNumberFormat="1" applyBorder="1"/>
    <xf numFmtId="41" fontId="0" fillId="8" borderId="0" xfId="0" applyFill="1"/>
    <xf numFmtId="43" fontId="7" fillId="8" borderId="0" xfId="0" applyNumberFormat="1" applyFont="1" applyFill="1"/>
    <xf numFmtId="41" fontId="0" fillId="7" borderId="0" xfId="0" applyFill="1" applyAlignment="1">
      <alignment horizontal="center"/>
    </xf>
    <xf numFmtId="41" fontId="0" fillId="7" borderId="0" xfId="0" applyFill="1" applyAlignment="1">
      <alignment horizontal="left" indent="1"/>
    </xf>
    <xf numFmtId="167" fontId="2" fillId="2" borderId="1" xfId="0" applyNumberFormat="1" applyFont="1" applyFill="1" applyBorder="1"/>
    <xf numFmtId="41" fontId="2" fillId="5" borderId="1" xfId="0" applyFont="1" applyFill="1" applyBorder="1" applyAlignment="1">
      <alignment horizontal="center" wrapText="1"/>
    </xf>
    <xf numFmtId="41" fontId="0" fillId="0" borderId="6" xfId="0" applyBorder="1"/>
    <xf numFmtId="41" fontId="2" fillId="6" borderId="1" xfId="0" applyFont="1" applyFill="1" applyBorder="1" applyAlignment="1">
      <alignment horizontal="center" wrapText="1"/>
    </xf>
    <xf numFmtId="166" fontId="0" fillId="0" borderId="0" xfId="0" applyNumberFormat="1"/>
    <xf numFmtId="168" fontId="0" fillId="0" borderId="4" xfId="0" applyNumberFormat="1" applyBorder="1"/>
    <xf numFmtId="166" fontId="2" fillId="2" borderId="1" xfId="0" applyNumberFormat="1" applyFont="1" applyFill="1" applyBorder="1"/>
    <xf numFmtId="41" fontId="8" fillId="7" borderId="0" xfId="0" applyFont="1" applyFill="1" applyProtection="1">
      <protection locked="0"/>
    </xf>
    <xf numFmtId="41" fontId="9" fillId="7" borderId="0" xfId="0" applyFont="1" applyFill="1" applyAlignment="1" applyProtection="1">
      <alignment horizontal="left" wrapText="1"/>
      <protection locked="0"/>
    </xf>
    <xf numFmtId="164" fontId="0" fillId="7" borderId="0" xfId="0" applyNumberFormat="1" applyFill="1" applyProtection="1">
      <protection locked="0"/>
    </xf>
    <xf numFmtId="41" fontId="0" fillId="7" borderId="0" xfId="0" applyFill="1" applyProtection="1">
      <protection locked="0"/>
    </xf>
    <xf numFmtId="41" fontId="4" fillId="7" borderId="0" xfId="0" applyFont="1" applyFill="1" applyAlignment="1" applyProtection="1">
      <alignment horizontal="left" wrapText="1"/>
      <protection locked="0"/>
    </xf>
    <xf numFmtId="44" fontId="2" fillId="7" borderId="0" xfId="1" applyFont="1" applyFill="1" applyBorder="1" applyAlignment="1" applyProtection="1">
      <alignment horizontal="left" wrapText="1"/>
      <protection locked="0"/>
    </xf>
    <xf numFmtId="0" fontId="2" fillId="7" borderId="0" xfId="1" applyNumberFormat="1" applyFont="1" applyFill="1" applyBorder="1" applyAlignment="1" applyProtection="1">
      <alignment horizontal="left" wrapText="1"/>
      <protection locked="0"/>
    </xf>
    <xf numFmtId="41" fontId="2" fillId="7" borderId="0" xfId="0" applyFont="1" applyFill="1" applyAlignment="1" applyProtection="1">
      <alignment horizontal="left" wrapText="1"/>
      <protection locked="0"/>
    </xf>
    <xf numFmtId="41" fontId="10" fillId="0" borderId="0" xfId="0" applyFont="1" applyAlignment="1" applyProtection="1">
      <alignment horizontal="centerContinuous"/>
      <protection locked="0"/>
    </xf>
    <xf numFmtId="169" fontId="0" fillId="0" borderId="4" xfId="0" applyNumberFormat="1" applyBorder="1"/>
    <xf numFmtId="170" fontId="2" fillId="2" borderId="1" xfId="0" applyNumberFormat="1" applyFont="1" applyFill="1" applyBorder="1"/>
    <xf numFmtId="164" fontId="0" fillId="0" borderId="0" xfId="0" applyNumberFormat="1"/>
    <xf numFmtId="43" fontId="0" fillId="0" borderId="0" xfId="0" applyNumberFormat="1"/>
    <xf numFmtId="9" fontId="1" fillId="0" borderId="0" xfId="2" applyFont="1" applyBorder="1"/>
  </cellXfs>
  <cellStyles count="3">
    <cellStyle name="Currency" xfId="1" builtinId="4"/>
    <cellStyle name="Normal" xfId="0" builtinId="0" customBuiltin="1"/>
    <cellStyle name="Percent" xfId="2" builtinId="5"/>
  </cellStyles>
  <dxfs count="3">
    <dxf>
      <fill>
        <gradientFill degree="90">
          <stop position="0">
            <color theme="0"/>
          </stop>
          <stop position="1">
            <color rgb="FF00CC00"/>
          </stop>
        </gradientFill>
      </fill>
    </dxf>
    <dxf>
      <fill>
        <gradientFill degree="90">
          <stop position="0">
            <color theme="0"/>
          </stop>
          <stop position="1">
            <color rgb="FFFFFF00"/>
          </stop>
        </gradient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Normal="100" workbookViewId="0">
      <selection activeCell="L16" sqref="L16"/>
    </sheetView>
  </sheetViews>
  <sheetFormatPr defaultRowHeight="15.75" x14ac:dyDescent="0.25"/>
  <cols>
    <col min="1" max="1" width="52.140625" style="3" customWidth="1"/>
    <col min="2" max="3" width="11.28515625" style="4" hidden="1" customWidth="1"/>
    <col min="4" max="4" width="11.28515625" style="4" customWidth="1"/>
    <col min="5" max="5" width="15.7109375" style="4" customWidth="1"/>
    <col min="6" max="6" width="18.140625" style="4" customWidth="1"/>
    <col min="7" max="7" width="15.28515625" style="4" customWidth="1"/>
    <col min="8" max="8" width="13.85546875" style="18" hidden="1" customWidth="1"/>
    <col min="9" max="9" width="67.28515625" style="19" hidden="1" customWidth="1"/>
    <col min="10" max="10" width="11.85546875" style="4" customWidth="1"/>
    <col min="11" max="16384" width="9.140625" style="4"/>
  </cols>
  <sheetData>
    <row r="1" spans="1:9" s="17" customFormat="1" ht="18.75" x14ac:dyDescent="0.3">
      <c r="A1" s="64" t="s">
        <v>116</v>
      </c>
      <c r="B1" s="64"/>
      <c r="C1" s="64"/>
      <c r="D1" s="64"/>
      <c r="E1" s="64"/>
      <c r="F1" s="64"/>
      <c r="G1" s="64"/>
      <c r="H1" s="56" t="s">
        <v>113</v>
      </c>
      <c r="I1" s="57"/>
    </row>
    <row r="2" spans="1:9" s="5" customFormat="1" x14ac:dyDescent="0.25">
      <c r="A2" s="2"/>
      <c r="B2" s="26" t="str">
        <f>+'Underlying data'!B1</f>
        <v>2008</v>
      </c>
      <c r="C2" s="26" t="str">
        <f>+'Underlying data'!C1</f>
        <v>2009</v>
      </c>
      <c r="D2" s="26" t="s">
        <v>129</v>
      </c>
      <c r="E2" s="26" t="s">
        <v>130</v>
      </c>
      <c r="F2" s="39" t="s">
        <v>112</v>
      </c>
      <c r="G2" s="39" t="s">
        <v>31</v>
      </c>
      <c r="H2" s="58">
        <v>0.01</v>
      </c>
      <c r="I2" s="59" t="s">
        <v>30</v>
      </c>
    </row>
    <row r="3" spans="1:9" s="5" customFormat="1" x14ac:dyDescent="0.25">
      <c r="A3" s="35" t="s">
        <v>0</v>
      </c>
      <c r="B3" s="6"/>
      <c r="C3" s="6"/>
      <c r="D3" s="6"/>
      <c r="E3" s="6"/>
      <c r="F3" s="39" t="s">
        <v>27</v>
      </c>
      <c r="G3" s="39"/>
      <c r="H3" s="59" t="s">
        <v>26</v>
      </c>
      <c r="I3" s="60"/>
    </row>
    <row r="4" spans="1:9" s="5" customFormat="1" x14ac:dyDescent="0.25">
      <c r="A4" s="7" t="str">
        <f>+'Underlying data'!A4</f>
        <v>Annual GF Expenditures per capita</v>
      </c>
      <c r="B4" s="22">
        <f>+'Underlying data'!B6</f>
        <v>333.33333333333331</v>
      </c>
      <c r="C4" s="22">
        <f>+'Underlying data'!C6</f>
        <v>351.35135135135135</v>
      </c>
      <c r="D4" s="22">
        <f>'Underlying data'!O6</f>
        <v>608.00322580645161</v>
      </c>
      <c r="E4" s="22">
        <f>'Underlying data'!P6</f>
        <v>610.93548387096769</v>
      </c>
      <c r="F4" s="40">
        <f>+E4/D4-1</f>
        <v>4.8227672815825962E-3</v>
      </c>
      <c r="G4" s="40" t="str">
        <f t="shared" ref="G4:G10" si="0">IF(ABS(E4/D4-1)&lt;$H$2,"Neutral",IF(H4="Good",IF(E4&gt;D4,"Positive","Negative"),IF(H4="Bad",IF(E4&lt;D4,"Positive","Negative"),"Neutral")))</f>
        <v>Neutral</v>
      </c>
      <c r="H4" s="59" t="s">
        <v>28</v>
      </c>
      <c r="I4" s="61"/>
    </row>
    <row r="5" spans="1:9" s="5" customFormat="1" x14ac:dyDescent="0.25">
      <c r="A5" s="7" t="str">
        <f>+'Underlying data'!A7</f>
        <v>Fund Balance as % of Annual GF Expenditures</v>
      </c>
      <c r="B5" s="21">
        <f>+'Underlying data'!B9</f>
        <v>0.2</v>
      </c>
      <c r="C5" s="21">
        <f>+'Underlying data'!C9</f>
        <v>0.21153846153846154</v>
      </c>
      <c r="D5" s="21">
        <f>'Underlying data'!O9</f>
        <v>0.76425740525570218</v>
      </c>
      <c r="E5" s="21">
        <f>'Underlying data'!P9</f>
        <v>0.77246422725592689</v>
      </c>
      <c r="F5" s="40">
        <f t="shared" ref="F5:F6" si="1">+E5/D5-1</f>
        <v>1.0738295689106003E-2</v>
      </c>
      <c r="G5" s="40" t="str">
        <f t="shared" si="0"/>
        <v>Positive</v>
      </c>
      <c r="H5" s="59" t="s">
        <v>29</v>
      </c>
      <c r="I5" s="61"/>
    </row>
    <row r="6" spans="1:9" s="5" customFormat="1" ht="30.75" hidden="1" x14ac:dyDescent="0.25">
      <c r="A6" s="7" t="str">
        <f>+'Underlying data'!A10</f>
        <v>Unfunded Pension &amp; Retiree health care liability, as a % of annual GF revenue</v>
      </c>
      <c r="B6" s="8">
        <f>+'Underlying data'!B21</f>
        <v>8.4615384615384617</v>
      </c>
      <c r="C6" s="8">
        <f>+'Underlying data'!C21</f>
        <v>10</v>
      </c>
      <c r="D6" s="8" t="e">
        <f>+'Underlying data'!D21</f>
        <v>#DIV/0!</v>
      </c>
      <c r="E6" s="8" t="e">
        <f>+'Underlying data'!E21</f>
        <v>#DIV/0!</v>
      </c>
      <c r="F6" s="40" t="e">
        <f t="shared" si="1"/>
        <v>#DIV/0!</v>
      </c>
      <c r="G6" s="40" t="e">
        <f t="shared" si="0"/>
        <v>#DIV/0!</v>
      </c>
      <c r="H6" s="59" t="s">
        <v>28</v>
      </c>
      <c r="I6" s="61"/>
    </row>
    <row r="7" spans="1:9" s="5" customFormat="1" x14ac:dyDescent="0.25">
      <c r="A7" s="7" t="str">
        <f>+'Underlying data'!A22</f>
        <v>Debt burden per capita</v>
      </c>
      <c r="B7" s="22">
        <f>+'Underlying data'!B27</f>
        <v>200</v>
      </c>
      <c r="C7" s="22">
        <f>+'Underlying data'!C27</f>
        <v>189.18918918918919</v>
      </c>
      <c r="D7" s="22">
        <f>'Underlying data'!O27</f>
        <v>160.0273548387097</v>
      </c>
      <c r="E7" s="22">
        <f>+'Underlying data'!P27</f>
        <v>144.0246129032258</v>
      </c>
      <c r="F7" s="40">
        <f>+D7/E7-1</f>
        <v>0.11111116088356776</v>
      </c>
      <c r="G7" s="40" t="str">
        <f>IF(ABS(D7/E7-1)&lt;$H$2,"neutral",IF(H7="Good",IF(D7&gt;E7,"Positive","Negative"),IF(H7="Bad",IF(D7&lt;E7,"Positive","Negative"),"Neutral")))</f>
        <v>Positive</v>
      </c>
      <c r="H7" s="59" t="s">
        <v>29</v>
      </c>
      <c r="I7" s="61"/>
    </row>
    <row r="8" spans="1:9" s="5" customFormat="1" ht="30.75" x14ac:dyDescent="0.25">
      <c r="A8" s="7" t="str">
        <f>+'Underlying data'!A28</f>
        <v>Percentage of road funding provided by the General Fund</v>
      </c>
      <c r="B8" s="23">
        <f>+'Underlying data'!B39</f>
        <v>0.18965517241379309</v>
      </c>
      <c r="C8" s="23">
        <f>+'Underlying data'!C39</f>
        <v>0.21258503401360543</v>
      </c>
      <c r="D8" s="23">
        <f>+'Underlying data'!G39</f>
        <v>0</v>
      </c>
      <c r="E8" s="23">
        <f>+'Underlying data'!H39</f>
        <v>0</v>
      </c>
      <c r="F8" s="40"/>
      <c r="G8" s="40"/>
      <c r="H8" s="59" t="s">
        <v>32</v>
      </c>
      <c r="I8" s="61"/>
    </row>
    <row r="9" spans="1:9" s="5" customFormat="1" x14ac:dyDescent="0.25">
      <c r="A9" s="7" t="str">
        <f>+'Underlying data'!A40</f>
        <v xml:space="preserve">Ratio of pensioners to employees </v>
      </c>
      <c r="B9" s="24">
        <f>+'Underlying data'!B43</f>
        <v>0.86956521739130432</v>
      </c>
      <c r="C9" s="24">
        <f>+'Underlying data'!C43</f>
        <v>0.95348837209302328</v>
      </c>
      <c r="D9" s="24">
        <f>+'Underlying data'!E43</f>
        <v>0</v>
      </c>
      <c r="E9" s="24">
        <f>+'Underlying data'!E43</f>
        <v>0</v>
      </c>
      <c r="F9" s="40"/>
      <c r="G9" s="40"/>
      <c r="H9" s="59" t="s">
        <v>32</v>
      </c>
      <c r="I9" s="62"/>
    </row>
    <row r="10" spans="1:9" s="5" customFormat="1" ht="30.75" x14ac:dyDescent="0.25">
      <c r="A10" s="7" t="str">
        <f>+'Underlying data'!A44</f>
        <v>Number of services delivered via cooperative venture</v>
      </c>
      <c r="B10" s="1">
        <f>+'Underlying data'!B56</f>
        <v>2</v>
      </c>
      <c r="C10" s="1">
        <f>+'Underlying data'!C56</f>
        <v>1</v>
      </c>
      <c r="D10" s="1">
        <f>+'Underlying data'!E56</f>
        <v>6</v>
      </c>
      <c r="E10" s="1">
        <f>+'Underlying data'!F56</f>
        <v>6</v>
      </c>
      <c r="F10" s="40">
        <f t="shared" ref="F10:F21" si="2">+E10/D10-1</f>
        <v>0</v>
      </c>
      <c r="G10" s="40" t="str">
        <f t="shared" si="0"/>
        <v>Neutral</v>
      </c>
      <c r="H10" s="59" t="s">
        <v>29</v>
      </c>
      <c r="I10" s="61"/>
    </row>
    <row r="11" spans="1:9" x14ac:dyDescent="0.25">
      <c r="A11" s="36" t="s">
        <v>1</v>
      </c>
      <c r="B11" s="9"/>
      <c r="C11" s="9"/>
      <c r="D11" s="9"/>
      <c r="E11" s="9"/>
      <c r="F11" s="40"/>
      <c r="G11" s="40"/>
      <c r="H11" s="59"/>
      <c r="I11" s="63"/>
    </row>
    <row r="12" spans="1:9" s="5" customFormat="1" ht="30.75" x14ac:dyDescent="0.25">
      <c r="A12" s="10" t="str">
        <f>+'Underlying data'!A58</f>
        <v>% of community with access to high speed broadband</v>
      </c>
      <c r="B12" s="8">
        <f>+'Underlying data'!B61</f>
        <v>0.91935483870967738</v>
      </c>
      <c r="C12" s="8">
        <f>+'Underlying data'!C61</f>
        <v>0.91935483870967738</v>
      </c>
      <c r="D12" s="8">
        <f>+'Underlying data'!E61</f>
        <v>1</v>
      </c>
      <c r="E12" s="8">
        <f>+'Underlying data'!F61</f>
        <v>1</v>
      </c>
      <c r="F12" s="40">
        <f t="shared" si="2"/>
        <v>0</v>
      </c>
      <c r="G12" s="40" t="str">
        <f>IF(ABS(E12/D12-1)&lt;$H$2,"Neutral",IF(H12="Good",IF(E12&gt;D12,"Positive","Negative"),IF(H12="Bad",IF(E12&lt;D12,"Positive","Negative"),"Neutral")))</f>
        <v>Neutral</v>
      </c>
      <c r="H12" s="59" t="s">
        <v>29</v>
      </c>
      <c r="I12" s="61"/>
    </row>
    <row r="13" spans="1:9" s="5" customFormat="1" x14ac:dyDescent="0.25">
      <c r="A13" s="10" t="str">
        <f>+'Underlying data'!A68</f>
        <v>Average age of critical infrastructure (years)</v>
      </c>
      <c r="B13" s="49">
        <f>+'Underlying data'!B108</f>
        <v>18.857142857142858</v>
      </c>
      <c r="C13" s="49">
        <f>+'Underlying data'!C108</f>
        <v>18.533333333333331</v>
      </c>
      <c r="D13" s="49">
        <v>35</v>
      </c>
      <c r="E13" s="49">
        <v>36</v>
      </c>
      <c r="F13" s="40">
        <f t="shared" si="2"/>
        <v>2.857142857142847E-2</v>
      </c>
      <c r="G13" s="40" t="str">
        <f>IF(ABS(E13/D13-1)&lt;$H$2,"Neutral",IF(H13="Good",IF(E13&gt;D13,"Positive","Negative"),IF(H13="Bad",IF(E13&lt;D13,"Positive","Negative"),"Neutral")))</f>
        <v>Negative</v>
      </c>
      <c r="H13" s="59" t="s">
        <v>28</v>
      </c>
      <c r="I13" s="61"/>
    </row>
    <row r="14" spans="1:9" s="5" customFormat="1" x14ac:dyDescent="0.25">
      <c r="A14" s="35" t="s">
        <v>2</v>
      </c>
      <c r="B14" s="1"/>
      <c r="C14" s="1"/>
      <c r="D14" s="1"/>
      <c r="E14" s="1"/>
      <c r="F14" s="40"/>
      <c r="G14" s="40"/>
      <c r="H14" s="59"/>
      <c r="I14" s="63"/>
    </row>
    <row r="15" spans="1:9" s="5" customFormat="1" x14ac:dyDescent="0.25">
      <c r="A15" s="11" t="str">
        <f>+'Underlying data'!A111</f>
        <v xml:space="preserve">Violent crimes </v>
      </c>
      <c r="B15" s="1">
        <f>+'Underlying data'!B113</f>
        <v>16</v>
      </c>
      <c r="C15" s="1">
        <f>+'Underlying data'!C113</f>
        <v>16.891891891891891</v>
      </c>
      <c r="D15" s="1">
        <f>+'Underlying data'!E113</f>
        <v>0</v>
      </c>
      <c r="E15" s="1">
        <f>+'Underlying data'!E113</f>
        <v>0</v>
      </c>
      <c r="F15" s="40" t="e">
        <f t="shared" si="2"/>
        <v>#DIV/0!</v>
      </c>
      <c r="G15" s="40" t="e">
        <f>IF(ABS(E15/D15-1)&lt;$H$2,"Neutral",IF(H15="Good",IF(E15&gt;D15,"Positive","Negative"),IF(H15="Bad",IF(E15&lt;D15,"Positive","Negative"),"Neutral")))</f>
        <v>#DIV/0!</v>
      </c>
      <c r="H15" s="59" t="s">
        <v>28</v>
      </c>
      <c r="I15" s="63"/>
    </row>
    <row r="16" spans="1:9" s="5" customFormat="1" x14ac:dyDescent="0.25">
      <c r="A16" s="11" t="str">
        <f>+'Underlying data'!A115</f>
        <v>Property crimes</v>
      </c>
      <c r="B16" s="1">
        <f>+'Underlying data'!B117</f>
        <v>56</v>
      </c>
      <c r="C16" s="1">
        <f>+'Underlying data'!C117</f>
        <v>57.432432432432428</v>
      </c>
      <c r="D16" s="66">
        <f>'Underlying data'!K116</f>
        <v>0</v>
      </c>
      <c r="E16" s="66">
        <f>'Underlying data'!L116</f>
        <v>0</v>
      </c>
      <c r="F16" s="40" t="e">
        <f t="shared" si="2"/>
        <v>#DIV/0!</v>
      </c>
      <c r="G16" s="40" t="e">
        <f>IF(ABS(E16/D16-1)&lt;$H$2,"Neutral",IF(H16="Good",IF(E16&gt;D16,"Positive","Negative"),IF(H16="Bad",IF(E16&lt;D16,"Positive","Negative"),"Neutral")))</f>
        <v>#DIV/0!</v>
      </c>
      <c r="H16" s="59" t="s">
        <v>28</v>
      </c>
      <c r="I16" s="63"/>
    </row>
    <row r="17" spans="1:9" s="5" customFormat="1" x14ac:dyDescent="0.25">
      <c r="A17" s="11" t="str">
        <f>+'Underlying data'!A119</f>
        <v>Traffic injuries or fatalities</v>
      </c>
      <c r="B17" s="1">
        <f>+'Underlying data'!B120</f>
        <v>850</v>
      </c>
      <c r="C17" s="1">
        <f>+'Underlying data'!C120</f>
        <v>875</v>
      </c>
      <c r="D17" s="1">
        <f>+'Underlying data'!E120</f>
        <v>0</v>
      </c>
      <c r="E17" s="1">
        <f>+'Underlying data'!E120</f>
        <v>0</v>
      </c>
      <c r="F17" s="40" t="e">
        <f t="shared" si="2"/>
        <v>#DIV/0!</v>
      </c>
      <c r="G17" s="40" t="e">
        <f>IF(ABS(E17/D17-1)&lt;$H$2,"Neutral",IF(H17="Good",IF(E17&gt;D17,"Positive","Negative"),IF(H17="Bad",IF(E17&lt;D17,"Positive","Negative"),"Neutral")))</f>
        <v>#DIV/0!</v>
      </c>
      <c r="H17" s="59" t="s">
        <v>28</v>
      </c>
      <c r="I17" s="61"/>
    </row>
    <row r="18" spans="1:9" s="5" customFormat="1" x14ac:dyDescent="0.25">
      <c r="A18" s="35" t="s">
        <v>3</v>
      </c>
      <c r="B18" s="1"/>
      <c r="C18" s="1"/>
      <c r="D18" s="1"/>
      <c r="E18" s="1"/>
      <c r="F18" s="40"/>
      <c r="G18" s="40"/>
      <c r="H18" s="59"/>
      <c r="I18" s="63"/>
    </row>
    <row r="19" spans="1:9" s="14" customFormat="1" ht="45.75" x14ac:dyDescent="0.25">
      <c r="A19" s="12" t="str">
        <f>+'Underlying data'!A123</f>
        <v>Miles of sidewalks and non-motorized paths/trails as a factor of total miles of local/major road streets</v>
      </c>
      <c r="B19" s="13">
        <f>+'Underlying data'!B126</f>
        <v>0.21428571428571427</v>
      </c>
      <c r="C19" s="13">
        <f>+'Underlying data'!C126</f>
        <v>0.24285714285714285</v>
      </c>
      <c r="D19" s="13">
        <f>+'Underlying data'!D126</f>
        <v>1.6666666666666667</v>
      </c>
      <c r="E19" s="13">
        <f>+'Underlying data'!E126</f>
        <v>1.6722408026755851</v>
      </c>
      <c r="F19" s="40">
        <f t="shared" si="2"/>
        <v>3.3444816053509463E-3</v>
      </c>
      <c r="G19" s="40" t="str">
        <f>IF(ABS(E19/D19-1)&lt;$H$2,"Neutral",IF(H19="Good",IF(E19&gt;D19,"Positive","Negative"),IF(H19="Bad",IF(E19&lt;D19,"Positive","Negative"),"Neutral")))</f>
        <v>Neutral</v>
      </c>
      <c r="H19" s="59" t="s">
        <v>29</v>
      </c>
      <c r="I19" s="61"/>
    </row>
    <row r="20" spans="1:9" s="5" customFormat="1" ht="30.75" x14ac:dyDescent="0.25">
      <c r="A20" s="12" t="str">
        <f>+'Underlying data'!A128</f>
        <v>Percent of GF Expenditures Committed to Arts, Culture and Recreation</v>
      </c>
      <c r="B20" s="23">
        <f>+'Underlying data'!B130</f>
        <v>0.09</v>
      </c>
      <c r="C20" s="23">
        <f>+'Underlying data'!C130</f>
        <v>8.5384615384615378E-2</v>
      </c>
      <c r="D20" s="23">
        <f>+'Underlying data'!O130</f>
        <v>8.9271597667669414E-2</v>
      </c>
      <c r="E20" s="23">
        <f>+'Underlying data'!P130</f>
        <v>0.13818047415386239</v>
      </c>
      <c r="F20" s="40">
        <f t="shared" si="2"/>
        <v>0.54786603762000108</v>
      </c>
      <c r="G20" s="40" t="str">
        <f>IF(ABS(E20/D20-1)&lt;$H$2,"Neutral",IF(H20="Good",IF(E20&gt;D20,"Positive","Negative"),IF(H20="Bad",IF(E20&lt;D20,"Positive","Negative"),"Neutral")))</f>
        <v>Positive</v>
      </c>
      <c r="H20" s="59" t="s">
        <v>29</v>
      </c>
      <c r="I20" s="61"/>
    </row>
    <row r="21" spans="1:9" s="5" customFormat="1" x14ac:dyDescent="0.25">
      <c r="A21" s="12" t="str">
        <f>+'Underlying data'!A132</f>
        <v>Acres of park</v>
      </c>
      <c r="B21" s="55">
        <f>+'Underlying data'!B134</f>
        <v>2.4</v>
      </c>
      <c r="C21" s="55">
        <f>+'Underlying data'!C134</f>
        <v>2.4324324324324325</v>
      </c>
      <c r="D21" s="55">
        <f>+'Underlying data'!D134</f>
        <v>3</v>
      </c>
      <c r="E21" s="55">
        <f>+'Underlying data'!E134</f>
        <v>3</v>
      </c>
      <c r="F21" s="40">
        <f t="shared" si="2"/>
        <v>0</v>
      </c>
      <c r="G21" s="40" t="str">
        <f>IF(ABS(E21/D21-1)&lt;$H$2,"Neutral",IF(H21="Good",IF(E21&gt;D21,"Positive","Negative"),IF(H21="Bad",IF(E21&lt;D21,"Positive","Negative"),"Neutral")))</f>
        <v>Neutral</v>
      </c>
      <c r="H21" s="59" t="s">
        <v>29</v>
      </c>
      <c r="I21" s="61"/>
    </row>
    <row r="22" spans="1:9" ht="30.75" x14ac:dyDescent="0.25">
      <c r="A22" s="12" t="str">
        <f>+'Underlying data'!A136</f>
        <v>Percent of community being provided with curbside recycling</v>
      </c>
      <c r="B22" s="15">
        <f>+'Underlying data'!B138</f>
        <v>0.95333333333333337</v>
      </c>
      <c r="C22" s="15">
        <f>+'Underlying data'!C138</f>
        <v>0.96621621621621623</v>
      </c>
      <c r="D22" s="15">
        <f>+'Underlying data'!D138</f>
        <v>0</v>
      </c>
      <c r="E22" s="15">
        <f>+'Underlying data'!E138</f>
        <v>0</v>
      </c>
      <c r="F22" s="40"/>
      <c r="G22" s="40"/>
      <c r="H22" s="59" t="s">
        <v>32</v>
      </c>
      <c r="I22" s="61"/>
    </row>
    <row r="23" spans="1:9" x14ac:dyDescent="0.25">
      <c r="B23" s="16"/>
      <c r="C23" s="16"/>
      <c r="D23" s="16"/>
      <c r="E23" s="16"/>
      <c r="F23" s="41"/>
      <c r="G23" s="41"/>
    </row>
    <row r="28" spans="1:9" x14ac:dyDescent="0.25">
      <c r="A28" s="4"/>
    </row>
  </sheetData>
  <sheetProtection formatCells="0" formatColumns="0" formatRows="0" insertColumns="0" insertRows="0" deleteColumns="0" deleteRows="0"/>
  <conditionalFormatting sqref="F4:F9">
    <cfRule type="iconSet" priority="2">
      <iconSet iconSet="3ArrowsGray">
        <cfvo type="percent" val="0"/>
        <cfvo type="num" val="-$H$2"/>
        <cfvo type="num" val="+$H$2"/>
      </iconSet>
    </cfRule>
  </conditionalFormatting>
  <conditionalFormatting sqref="F5:F22">
    <cfRule type="iconSet" priority="20">
      <iconSet iconSet="3ArrowsGray">
        <cfvo type="percent" val="0"/>
        <cfvo type="num" val="-$H$2"/>
        <cfvo type="num" val="+$H$2"/>
      </iconSet>
    </cfRule>
  </conditionalFormatting>
  <conditionalFormatting sqref="G1:G1048576">
    <cfRule type="expression" dxfId="2" priority="7">
      <formula>$G1="Negative"</formula>
    </cfRule>
    <cfRule type="expression" dxfId="1" priority="8">
      <formula>$G1="Neutral"</formula>
    </cfRule>
    <cfRule type="expression" dxfId="0" priority="9">
      <formula>$G1="Positive"</formula>
    </cfRule>
  </conditionalFormatting>
  <dataValidations count="1">
    <dataValidation type="list" allowBlank="1" showInputMessage="1" showErrorMessage="1" sqref="H4:H22" xr:uid="{00000000-0002-0000-0000-000000000000}">
      <formula1>"Good, Bad, Neutral"</formula1>
    </dataValidation>
  </dataValidations>
  <printOptions horizontalCentered="1" verticalCentered="1"/>
  <pageMargins left="0.25" right="0.25" top="0.3" bottom="0.3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46"/>
  <sheetViews>
    <sheetView workbookViewId="0">
      <selection activeCell="P12" sqref="P12"/>
    </sheetView>
  </sheetViews>
  <sheetFormatPr defaultRowHeight="15" x14ac:dyDescent="0.25"/>
  <cols>
    <col min="1" max="1" width="47.140625" customWidth="1"/>
    <col min="2" max="4" width="11.5703125" hidden="1" customWidth="1"/>
    <col min="5" max="5" width="12.7109375" hidden="1" customWidth="1"/>
    <col min="6" max="16" width="12.7109375" customWidth="1"/>
    <col min="17" max="17" width="68.5703125" customWidth="1"/>
    <col min="18" max="18" width="53.42578125" customWidth="1"/>
  </cols>
  <sheetData>
    <row r="1" spans="1:17" ht="17.25" x14ac:dyDescent="0.4">
      <c r="B1" s="25" t="s">
        <v>42</v>
      </c>
      <c r="C1" s="25" t="s">
        <v>41</v>
      </c>
      <c r="D1" s="25" t="s">
        <v>40</v>
      </c>
      <c r="E1" s="25" t="s">
        <v>119</v>
      </c>
      <c r="F1" s="25" t="s">
        <v>120</v>
      </c>
      <c r="G1" s="25" t="s">
        <v>121</v>
      </c>
      <c r="H1" s="25" t="s">
        <v>122</v>
      </c>
      <c r="I1" s="25" t="s">
        <v>123</v>
      </c>
      <c r="J1" s="25" t="s">
        <v>124</v>
      </c>
      <c r="K1" s="25" t="s">
        <v>125</v>
      </c>
      <c r="L1" s="25" t="s">
        <v>126</v>
      </c>
      <c r="M1" s="25" t="s">
        <v>127</v>
      </c>
      <c r="N1" s="25" t="s">
        <v>128</v>
      </c>
      <c r="O1" s="25" t="s">
        <v>129</v>
      </c>
      <c r="P1" s="25" t="s">
        <v>130</v>
      </c>
      <c r="Q1" t="s">
        <v>35</v>
      </c>
    </row>
    <row r="2" spans="1:17" x14ac:dyDescent="0.25">
      <c r="A2" t="s">
        <v>33</v>
      </c>
      <c r="B2" s="18">
        <v>7500</v>
      </c>
      <c r="C2" s="18">
        <v>7400</v>
      </c>
      <c r="D2" s="18">
        <v>324</v>
      </c>
      <c r="E2" s="18">
        <v>324</v>
      </c>
      <c r="F2" s="18">
        <v>324</v>
      </c>
      <c r="G2" s="18">
        <v>324</v>
      </c>
      <c r="H2" s="18">
        <v>324</v>
      </c>
      <c r="I2" s="18">
        <v>324</v>
      </c>
      <c r="J2" s="18">
        <v>324</v>
      </c>
      <c r="K2" s="18">
        <v>324</v>
      </c>
      <c r="L2" s="18">
        <v>324</v>
      </c>
      <c r="M2" s="18">
        <v>324</v>
      </c>
      <c r="N2" s="18">
        <v>324</v>
      </c>
      <c r="O2" s="18">
        <v>310</v>
      </c>
      <c r="P2" s="18">
        <v>310</v>
      </c>
      <c r="Q2" t="s">
        <v>111</v>
      </c>
    </row>
    <row r="4" spans="1:17" ht="15.75" x14ac:dyDescent="0.25">
      <c r="A4" s="7" t="s">
        <v>8</v>
      </c>
      <c r="Q4" t="s">
        <v>36</v>
      </c>
    </row>
    <row r="5" spans="1:17" x14ac:dyDescent="0.25">
      <c r="A5" t="s">
        <v>34</v>
      </c>
      <c r="B5" s="18">
        <v>2500000</v>
      </c>
      <c r="C5" s="18">
        <v>2600000</v>
      </c>
      <c r="D5" s="18">
        <v>167161.51</v>
      </c>
      <c r="E5" s="18">
        <v>177980.02</v>
      </c>
      <c r="F5" s="18">
        <v>186115.59</v>
      </c>
      <c r="G5" s="18">
        <v>192626</v>
      </c>
      <c r="H5" s="18">
        <v>156584.9</v>
      </c>
      <c r="I5" s="18">
        <v>207140</v>
      </c>
      <c r="J5" s="18">
        <v>157896</v>
      </c>
      <c r="K5" s="18">
        <v>249163</v>
      </c>
      <c r="L5" s="18">
        <v>304062</v>
      </c>
      <c r="M5" s="18">
        <v>217995</v>
      </c>
      <c r="N5" s="18">
        <v>204227</v>
      </c>
      <c r="O5" s="18">
        <v>188481</v>
      </c>
      <c r="P5" s="18">
        <v>189390</v>
      </c>
    </row>
    <row r="6" spans="1:17" ht="15.75" thickBot="1" x14ac:dyDescent="0.3">
      <c r="A6" t="s">
        <v>37</v>
      </c>
      <c r="B6" s="31">
        <f t="shared" ref="B6:J6" si="0">+B5/B2</f>
        <v>333.33333333333331</v>
      </c>
      <c r="C6" s="31">
        <f t="shared" si="0"/>
        <v>351.35135135135135</v>
      </c>
      <c r="D6" s="31">
        <f t="shared" si="0"/>
        <v>515.93058641975313</v>
      </c>
      <c r="E6" s="31">
        <f t="shared" si="0"/>
        <v>549.32104938271607</v>
      </c>
      <c r="F6" s="31">
        <f t="shared" si="0"/>
        <v>574.43083333333334</v>
      </c>
      <c r="G6" s="31">
        <f t="shared" si="0"/>
        <v>594.52469135802471</v>
      </c>
      <c r="H6" s="31">
        <f t="shared" si="0"/>
        <v>483.28672839506169</v>
      </c>
      <c r="I6" s="31">
        <f t="shared" ref="I6" si="1">+I5/I2</f>
        <v>639.32098765432102</v>
      </c>
      <c r="J6" s="31">
        <f t="shared" si="0"/>
        <v>487.33333333333331</v>
      </c>
      <c r="K6" s="31">
        <f t="shared" ref="K6:M6" si="2">+K5/K2</f>
        <v>769.02160493827159</v>
      </c>
      <c r="L6" s="31">
        <f t="shared" si="2"/>
        <v>938.46296296296293</v>
      </c>
      <c r="M6" s="31">
        <f t="shared" si="2"/>
        <v>672.82407407407402</v>
      </c>
      <c r="N6" s="31">
        <f t="shared" ref="N6:O6" si="3">+N5/N2</f>
        <v>630.33024691358025</v>
      </c>
      <c r="O6" s="31">
        <f t="shared" si="3"/>
        <v>608.00322580645161</v>
      </c>
      <c r="P6" s="31">
        <f t="shared" ref="P6" si="4">+P5/P2</f>
        <v>610.93548387096769</v>
      </c>
    </row>
    <row r="7" spans="1:17" ht="31.5" thickTop="1" x14ac:dyDescent="0.25">
      <c r="A7" s="7" t="s">
        <v>7</v>
      </c>
      <c r="Q7" t="s">
        <v>39</v>
      </c>
    </row>
    <row r="8" spans="1:17" x14ac:dyDescent="0.25">
      <c r="A8" t="s">
        <v>38</v>
      </c>
      <c r="B8" s="18">
        <v>500000</v>
      </c>
      <c r="C8" s="18">
        <v>550000</v>
      </c>
      <c r="D8" s="18">
        <v>143989.74</v>
      </c>
      <c r="E8" s="18">
        <v>123655.87</v>
      </c>
      <c r="F8" s="18">
        <v>107230.02</v>
      </c>
      <c r="G8" s="18">
        <v>75888</v>
      </c>
      <c r="H8" s="18">
        <v>72922</v>
      </c>
      <c r="I8" s="18">
        <v>80319</v>
      </c>
      <c r="J8" s="18">
        <v>178731</v>
      </c>
      <c r="K8" s="18">
        <v>170363</v>
      </c>
      <c r="L8" s="18">
        <v>193400</v>
      </c>
      <c r="M8" s="18">
        <v>178857</v>
      </c>
      <c r="N8" s="18">
        <v>167967</v>
      </c>
      <c r="O8" s="18">
        <v>144048</v>
      </c>
      <c r="P8" s="18">
        <v>146297</v>
      </c>
    </row>
    <row r="9" spans="1:17" ht="15.75" thickBot="1" x14ac:dyDescent="0.3">
      <c r="A9" t="s">
        <v>7</v>
      </c>
      <c r="B9" s="34">
        <f t="shared" ref="B9:J9" si="5">+B8/B5</f>
        <v>0.2</v>
      </c>
      <c r="C9" s="34">
        <f t="shared" si="5"/>
        <v>0.21153846153846154</v>
      </c>
      <c r="D9" s="34">
        <f t="shared" si="5"/>
        <v>0.86138094828169465</v>
      </c>
      <c r="E9" s="34">
        <f t="shared" si="5"/>
        <v>0.69477388529341666</v>
      </c>
      <c r="F9" s="34">
        <f t="shared" si="5"/>
        <v>0.5761474361175225</v>
      </c>
      <c r="G9" s="34">
        <f t="shared" si="5"/>
        <v>0.39396550829067728</v>
      </c>
      <c r="H9" s="34">
        <f t="shared" si="5"/>
        <v>0.46570263160751774</v>
      </c>
      <c r="I9" s="34">
        <f t="shared" ref="I9" si="6">+I8/I5</f>
        <v>0.38775224485854975</v>
      </c>
      <c r="J9" s="34">
        <f t="shared" si="5"/>
        <v>1.131953944368445</v>
      </c>
      <c r="K9" s="34">
        <f t="shared" ref="K9:M9" si="7">+K8/K5</f>
        <v>0.68374116542183228</v>
      </c>
      <c r="L9" s="34">
        <f t="shared" si="7"/>
        <v>0.63605448888713489</v>
      </c>
      <c r="M9" s="34">
        <f t="shared" si="7"/>
        <v>0.82046377210486476</v>
      </c>
      <c r="N9" s="34">
        <f t="shared" ref="N9:O9" si="8">+N8/N5</f>
        <v>0.82245246710767916</v>
      </c>
      <c r="O9" s="34">
        <f t="shared" si="8"/>
        <v>0.76425740525570218</v>
      </c>
      <c r="P9" s="34">
        <f t="shared" ref="P9" si="9">+P8/P5</f>
        <v>0.77246422725592689</v>
      </c>
    </row>
    <row r="10" spans="1:17" ht="31.5" thickTop="1" x14ac:dyDescent="0.25">
      <c r="A10" s="7" t="s">
        <v>49</v>
      </c>
      <c r="Q10" t="s">
        <v>48</v>
      </c>
    </row>
    <row r="11" spans="1:17" x14ac:dyDescent="0.25">
      <c r="A11" t="s">
        <v>50</v>
      </c>
    </row>
    <row r="12" spans="1:17" x14ac:dyDescent="0.25">
      <c r="A12" s="27" t="s">
        <v>44</v>
      </c>
      <c r="B12" s="18">
        <v>28000000</v>
      </c>
      <c r="C12" s="18">
        <v>25000000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7" x14ac:dyDescent="0.25">
      <c r="A13" s="27" t="s">
        <v>45</v>
      </c>
      <c r="B13" s="18">
        <v>30000000</v>
      </c>
      <c r="C13" s="18">
        <v>31000000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7" x14ac:dyDescent="0.25">
      <c r="A14" s="28" t="s">
        <v>51</v>
      </c>
      <c r="B14">
        <f>+B12-B13</f>
        <v>-2000000</v>
      </c>
      <c r="C14">
        <f>+C12-C13</f>
        <v>-6000000</v>
      </c>
    </row>
    <row r="15" spans="1:17" x14ac:dyDescent="0.25">
      <c r="A15" t="s">
        <v>43</v>
      </c>
    </row>
    <row r="16" spans="1:17" x14ac:dyDescent="0.25">
      <c r="A16" s="27" t="s">
        <v>44</v>
      </c>
      <c r="B16" s="18">
        <v>0</v>
      </c>
      <c r="C16" s="18">
        <v>500000</v>
      </c>
      <c r="D16" s="18">
        <v>0</v>
      </c>
      <c r="E16" s="18">
        <v>0</v>
      </c>
      <c r="F16" s="18">
        <v>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x14ac:dyDescent="0.25">
      <c r="A17" s="27" t="s">
        <v>45</v>
      </c>
      <c r="B17" s="18">
        <v>20000000</v>
      </c>
      <c r="C17" s="18">
        <v>21000000</v>
      </c>
      <c r="D17" s="18">
        <v>0</v>
      </c>
      <c r="E17" s="18">
        <v>0</v>
      </c>
      <c r="F17" s="18">
        <v>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x14ac:dyDescent="0.25">
      <c r="A18" s="28" t="s">
        <v>51</v>
      </c>
      <c r="B18">
        <f>+B16-B17</f>
        <v>-20000000</v>
      </c>
      <c r="C18">
        <f>+C16-C17</f>
        <v>-20500000</v>
      </c>
      <c r="D18">
        <f>+D16-D17</f>
        <v>0</v>
      </c>
      <c r="E18">
        <v>0</v>
      </c>
      <c r="F18">
        <v>0</v>
      </c>
    </row>
    <row r="19" spans="1:16" x14ac:dyDescent="0.25">
      <c r="A19" t="s">
        <v>52</v>
      </c>
      <c r="B19" s="29">
        <f>+B18+B14</f>
        <v>-22000000</v>
      </c>
      <c r="C19" s="29">
        <f>+C18+C14</f>
        <v>-26500000</v>
      </c>
      <c r="D19" s="29">
        <f>+D18+D14</f>
        <v>0</v>
      </c>
      <c r="E19" s="29">
        <f>+E18+E14</f>
        <v>0</v>
      </c>
      <c r="F19" s="29">
        <f>+F18+F14</f>
        <v>0</v>
      </c>
    </row>
    <row r="20" spans="1:16" x14ac:dyDescent="0.25">
      <c r="A20" t="s">
        <v>46</v>
      </c>
      <c r="B20" s="18">
        <v>2600000</v>
      </c>
      <c r="C20" s="18">
        <v>2650000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.75" thickBot="1" x14ac:dyDescent="0.3">
      <c r="A21" s="28" t="s">
        <v>6</v>
      </c>
      <c r="B21" s="33">
        <f t="shared" ref="B21:H21" si="10">IF(B19&gt;0,"Overfunded",-B19/B20)</f>
        <v>8.4615384615384617</v>
      </c>
      <c r="C21" s="33">
        <f t="shared" si="10"/>
        <v>10</v>
      </c>
      <c r="D21" s="33" t="e">
        <f t="shared" si="10"/>
        <v>#DIV/0!</v>
      </c>
      <c r="E21" s="33" t="e">
        <f t="shared" si="10"/>
        <v>#DIV/0!</v>
      </c>
      <c r="F21" s="33" t="e">
        <f t="shared" si="10"/>
        <v>#DIV/0!</v>
      </c>
      <c r="G21" s="33" t="e">
        <f t="shared" si="10"/>
        <v>#DIV/0!</v>
      </c>
      <c r="H21" s="33" t="e">
        <f t="shared" si="10"/>
        <v>#DIV/0!</v>
      </c>
      <c r="I21" s="69"/>
      <c r="J21" s="69"/>
      <c r="K21" s="69"/>
      <c r="L21" s="69"/>
      <c r="M21" s="69"/>
      <c r="N21" s="69"/>
      <c r="O21" s="69"/>
      <c r="P21" s="69"/>
    </row>
    <row r="22" spans="1:16" ht="16.5" thickTop="1" x14ac:dyDescent="0.25">
      <c r="A22" s="7" t="s">
        <v>4</v>
      </c>
    </row>
    <row r="23" spans="1:16" x14ac:dyDescent="0.25">
      <c r="A23" t="s">
        <v>53</v>
      </c>
    </row>
    <row r="24" spans="1:16" x14ac:dyDescent="0.25">
      <c r="A24" s="27" t="s">
        <v>54</v>
      </c>
      <c r="B24" s="18">
        <v>1500000</v>
      </c>
      <c r="C24" s="18">
        <v>1400000</v>
      </c>
      <c r="D24" s="18">
        <v>0</v>
      </c>
      <c r="E24" s="18">
        <v>0</v>
      </c>
      <c r="F24" s="18">
        <v>0</v>
      </c>
      <c r="G24" s="18"/>
      <c r="H24" s="18"/>
      <c r="I24" s="18"/>
      <c r="J24" s="18">
        <v>79373.58</v>
      </c>
      <c r="K24" s="18">
        <v>74412.73</v>
      </c>
      <c r="L24" s="18">
        <v>69452</v>
      </c>
      <c r="M24" s="18">
        <v>59530</v>
      </c>
      <c r="N24" s="18">
        <v>54569</v>
      </c>
      <c r="O24" s="18">
        <v>49608.480000000003</v>
      </c>
      <c r="P24" s="18"/>
    </row>
    <row r="25" spans="1:16" x14ac:dyDescent="0.25">
      <c r="A25" s="27" t="s">
        <v>55</v>
      </c>
      <c r="B25" s="18"/>
      <c r="C25" s="18"/>
      <c r="D25" s="18">
        <v>0</v>
      </c>
      <c r="E25" s="18">
        <v>0</v>
      </c>
      <c r="F25" s="18">
        <v>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x14ac:dyDescent="0.25">
      <c r="A26" s="28" t="s">
        <v>47</v>
      </c>
      <c r="B26" s="29">
        <f>SUM(B23:B25)</f>
        <v>1500000</v>
      </c>
      <c r="C26" s="29">
        <f>SUM(C23:C25)</f>
        <v>1400000</v>
      </c>
      <c r="D26" s="29">
        <f>SUM(D23:D25)</f>
        <v>0</v>
      </c>
      <c r="E26" s="29">
        <f>SUM(E23:E25)</f>
        <v>0</v>
      </c>
      <c r="F26" s="29">
        <f>SUM(F23:F25)</f>
        <v>0</v>
      </c>
      <c r="G26" s="29">
        <f t="shared" ref="G26:M26" si="11">SUM(G23:G25)</f>
        <v>0</v>
      </c>
      <c r="H26" s="29">
        <f t="shared" si="11"/>
        <v>0</v>
      </c>
      <c r="I26" s="29">
        <f t="shared" si="11"/>
        <v>0</v>
      </c>
      <c r="J26" s="29">
        <f t="shared" si="11"/>
        <v>79373.58</v>
      </c>
      <c r="K26" s="29">
        <f t="shared" ref="K26" si="12">SUM(K23:K25)</f>
        <v>74412.73</v>
      </c>
      <c r="L26" s="29">
        <f t="shared" si="11"/>
        <v>69452</v>
      </c>
      <c r="M26" s="29">
        <f t="shared" si="11"/>
        <v>59530</v>
      </c>
      <c r="N26" s="29">
        <f t="shared" ref="N26:O26" si="13">SUM(N23:N25)</f>
        <v>54569</v>
      </c>
      <c r="O26" s="29">
        <f t="shared" si="13"/>
        <v>49608.480000000003</v>
      </c>
      <c r="P26" s="29">
        <v>44647.63</v>
      </c>
    </row>
    <row r="27" spans="1:16" ht="15.75" thickBot="1" x14ac:dyDescent="0.3">
      <c r="A27" s="27" t="s">
        <v>4</v>
      </c>
      <c r="B27" s="31">
        <f>+B26/B2</f>
        <v>200</v>
      </c>
      <c r="C27" s="31">
        <f>+C26/C2</f>
        <v>189.18918918918919</v>
      </c>
      <c r="D27" s="31">
        <f>+D26/D2</f>
        <v>0</v>
      </c>
      <c r="E27" s="31">
        <f>+E26/E2</f>
        <v>0</v>
      </c>
      <c r="F27" s="31">
        <f>+F26/F2</f>
        <v>0</v>
      </c>
      <c r="G27" s="31">
        <v>1E-4</v>
      </c>
      <c r="H27" s="31">
        <f t="shared" ref="H27:M27" si="14">+H26/H2</f>
        <v>0</v>
      </c>
      <c r="I27" s="31">
        <f t="shared" si="14"/>
        <v>0</v>
      </c>
      <c r="J27" s="31">
        <f t="shared" si="14"/>
        <v>244.98018518518518</v>
      </c>
      <c r="K27" s="31">
        <f t="shared" ref="K27" si="15">+K26/K2</f>
        <v>229.66891975308641</v>
      </c>
      <c r="L27" s="31">
        <f t="shared" si="14"/>
        <v>214.35802469135803</v>
      </c>
      <c r="M27" s="31">
        <f t="shared" si="14"/>
        <v>183.73456790123456</v>
      </c>
      <c r="N27" s="31">
        <f t="shared" ref="N27:O27" si="16">+N26/N2</f>
        <v>168.42283950617283</v>
      </c>
      <c r="O27" s="31">
        <f t="shared" si="16"/>
        <v>160.0273548387097</v>
      </c>
      <c r="P27" s="31">
        <f t="shared" ref="P27" si="17">+P26/P2</f>
        <v>144.0246129032258</v>
      </c>
    </row>
    <row r="28" spans="1:16" ht="31.5" thickTop="1" x14ac:dyDescent="0.25">
      <c r="A28" s="7" t="s">
        <v>76</v>
      </c>
    </row>
    <row r="29" spans="1:16" x14ac:dyDescent="0.25">
      <c r="A29" t="s">
        <v>56</v>
      </c>
    </row>
    <row r="30" spans="1:16" x14ac:dyDescent="0.25">
      <c r="A30" s="27" t="s">
        <v>57</v>
      </c>
      <c r="B30" s="18">
        <v>320000</v>
      </c>
      <c r="C30" s="18">
        <v>324000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x14ac:dyDescent="0.25">
      <c r="A31" s="27" t="s">
        <v>58</v>
      </c>
      <c r="B31" s="18">
        <v>260000</v>
      </c>
      <c r="C31" s="18">
        <v>264000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x14ac:dyDescent="0.25">
      <c r="A32" s="27" t="s">
        <v>59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x14ac:dyDescent="0.25">
      <c r="A33" s="28" t="s">
        <v>60</v>
      </c>
      <c r="B33" s="29">
        <f>SUM(B30:B32)</f>
        <v>580000</v>
      </c>
      <c r="C33" s="29">
        <f>SUM(C30:C32)</f>
        <v>588000</v>
      </c>
      <c r="D33" s="29">
        <f>SUM(D30:D32)</f>
        <v>0</v>
      </c>
      <c r="E33" s="29">
        <f>SUM(E30:E32)</f>
        <v>0</v>
      </c>
      <c r="F33" s="29">
        <f>SUM(F30:F32)</f>
        <v>0</v>
      </c>
    </row>
    <row r="34" spans="1:16" x14ac:dyDescent="0.25">
      <c r="A34" s="37" t="s">
        <v>77</v>
      </c>
    </row>
    <row r="35" spans="1:16" x14ac:dyDescent="0.25">
      <c r="A35" s="27" t="s">
        <v>57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x14ac:dyDescent="0.25">
      <c r="A36" s="27" t="s">
        <v>58</v>
      </c>
      <c r="B36" s="18">
        <v>110000</v>
      </c>
      <c r="C36" s="18">
        <v>125000</v>
      </c>
      <c r="D36" s="18">
        <v>0</v>
      </c>
      <c r="E36" s="18">
        <v>0</v>
      </c>
      <c r="F36" s="18">
        <v>0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x14ac:dyDescent="0.25">
      <c r="A37" s="27" t="s">
        <v>59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x14ac:dyDescent="0.25">
      <c r="A38" s="28" t="s">
        <v>78</v>
      </c>
      <c r="B38" s="29">
        <f>SUM(B34:B37)</f>
        <v>110000</v>
      </c>
      <c r="C38" s="29">
        <f>SUM(C34:C37)</f>
        <v>125000</v>
      </c>
      <c r="D38" s="29">
        <f>SUM(D34:D37)</f>
        <v>0</v>
      </c>
      <c r="E38" s="29">
        <f>SUM(E34:E37)</f>
        <v>0</v>
      </c>
      <c r="F38" s="29">
        <f>SUM(F34:F37)</f>
        <v>0</v>
      </c>
    </row>
    <row r="39" spans="1:16" ht="15.75" thickBot="1" x14ac:dyDescent="0.3">
      <c r="A39" s="30" t="s">
        <v>9</v>
      </c>
      <c r="B39" s="38">
        <f>+B38/B33</f>
        <v>0.18965517241379309</v>
      </c>
      <c r="C39" s="38">
        <f>+C38/C33</f>
        <v>0.21258503401360543</v>
      </c>
      <c r="D39" s="38" t="e">
        <f>+D38/D33</f>
        <v>#DIV/0!</v>
      </c>
      <c r="E39" s="38" t="e">
        <f>+E38/E33</f>
        <v>#DIV/0!</v>
      </c>
      <c r="F39" s="38" t="e">
        <f>+F38/F33</f>
        <v>#DIV/0!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</row>
    <row r="40" spans="1:16" ht="16.5" thickTop="1" x14ac:dyDescent="0.25">
      <c r="A40" s="7" t="s">
        <v>79</v>
      </c>
    </row>
    <row r="41" spans="1:16" x14ac:dyDescent="0.25">
      <c r="A41" t="s">
        <v>63</v>
      </c>
      <c r="B41" s="18">
        <v>200</v>
      </c>
      <c r="C41" s="18">
        <v>205</v>
      </c>
      <c r="D41" s="18">
        <v>0</v>
      </c>
      <c r="E41" s="18">
        <v>0</v>
      </c>
      <c r="F41" s="18">
        <v>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x14ac:dyDescent="0.25">
      <c r="A42" t="s">
        <v>61</v>
      </c>
      <c r="B42" s="18">
        <v>230</v>
      </c>
      <c r="C42" s="18">
        <v>215</v>
      </c>
      <c r="D42" s="18">
        <v>11</v>
      </c>
      <c r="E42" s="18">
        <v>11</v>
      </c>
      <c r="F42" s="18">
        <v>11</v>
      </c>
      <c r="G42" s="18">
        <v>11</v>
      </c>
      <c r="H42" s="18">
        <v>11</v>
      </c>
      <c r="I42" s="18">
        <v>11</v>
      </c>
      <c r="J42" s="18">
        <v>11</v>
      </c>
      <c r="K42" s="18">
        <v>11</v>
      </c>
      <c r="L42" s="18">
        <v>11</v>
      </c>
      <c r="M42" s="18">
        <v>11</v>
      </c>
      <c r="N42" s="18">
        <v>11</v>
      </c>
      <c r="O42" s="18">
        <v>11</v>
      </c>
      <c r="P42" s="18">
        <v>12</v>
      </c>
    </row>
    <row r="43" spans="1:16" ht="15.75" thickBot="1" x14ac:dyDescent="0.3">
      <c r="A43" s="28" t="s">
        <v>62</v>
      </c>
      <c r="B43" s="32">
        <f>+B41/B42</f>
        <v>0.86956521739130432</v>
      </c>
      <c r="C43" s="32">
        <f>+C41/C42</f>
        <v>0.95348837209302328</v>
      </c>
      <c r="D43" s="32">
        <f>+D41/D42</f>
        <v>0</v>
      </c>
      <c r="E43" s="32">
        <f>+E41/E42</f>
        <v>0</v>
      </c>
      <c r="F43" s="32">
        <f>+F41/F42</f>
        <v>0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6" ht="31.5" thickTop="1" x14ac:dyDescent="0.25">
      <c r="A44" s="7" t="s">
        <v>10</v>
      </c>
    </row>
    <row r="45" spans="1:16" x14ac:dyDescent="0.25">
      <c r="A45" t="s">
        <v>75</v>
      </c>
    </row>
    <row r="46" spans="1:16" x14ac:dyDescent="0.25">
      <c r="A46" s="48" t="s">
        <v>64</v>
      </c>
      <c r="B46" s="47" t="s">
        <v>74</v>
      </c>
      <c r="C46" s="47" t="s">
        <v>74</v>
      </c>
      <c r="D46" s="47" t="s">
        <v>74</v>
      </c>
      <c r="E46" s="47" t="s">
        <v>74</v>
      </c>
      <c r="F46" s="47" t="s">
        <v>74</v>
      </c>
      <c r="G46" s="47" t="s">
        <v>114</v>
      </c>
      <c r="H46" s="47" t="s">
        <v>114</v>
      </c>
      <c r="I46" s="47" t="s">
        <v>114</v>
      </c>
      <c r="J46" s="47" t="s">
        <v>114</v>
      </c>
      <c r="K46" s="47" t="s">
        <v>114</v>
      </c>
      <c r="L46" s="47" t="s">
        <v>114</v>
      </c>
      <c r="M46" s="47" t="s">
        <v>114</v>
      </c>
      <c r="N46" s="47" t="s">
        <v>114</v>
      </c>
      <c r="O46" s="47" t="s">
        <v>114</v>
      </c>
      <c r="P46" s="47" t="s">
        <v>114</v>
      </c>
    </row>
    <row r="47" spans="1:16" x14ac:dyDescent="0.25">
      <c r="A47" s="48" t="s">
        <v>65</v>
      </c>
      <c r="B47" s="47"/>
      <c r="C47" s="47"/>
      <c r="D47" s="47" t="s">
        <v>74</v>
      </c>
      <c r="E47" s="47" t="s">
        <v>74</v>
      </c>
      <c r="F47" s="47" t="s">
        <v>74</v>
      </c>
      <c r="G47" s="47" t="s">
        <v>114</v>
      </c>
      <c r="H47" s="47" t="s">
        <v>114</v>
      </c>
      <c r="I47" s="47" t="s">
        <v>114</v>
      </c>
      <c r="J47" s="47" t="s">
        <v>114</v>
      </c>
      <c r="K47" s="47" t="s">
        <v>114</v>
      </c>
      <c r="L47" s="47" t="s">
        <v>114</v>
      </c>
      <c r="M47" s="47" t="s">
        <v>114</v>
      </c>
      <c r="N47" s="47" t="s">
        <v>114</v>
      </c>
      <c r="O47" s="47" t="s">
        <v>114</v>
      </c>
      <c r="P47" s="47" t="s">
        <v>114</v>
      </c>
    </row>
    <row r="48" spans="1:16" x14ac:dyDescent="0.25">
      <c r="A48" s="48" t="s">
        <v>66</v>
      </c>
      <c r="B48" s="47"/>
      <c r="C48" s="47"/>
      <c r="D48" s="47" t="s">
        <v>114</v>
      </c>
      <c r="E48" s="47" t="s">
        <v>74</v>
      </c>
      <c r="F48" s="47" t="s">
        <v>74</v>
      </c>
      <c r="G48" s="47" t="s">
        <v>114</v>
      </c>
      <c r="H48" s="47" t="s">
        <v>114</v>
      </c>
      <c r="I48" s="47" t="s">
        <v>114</v>
      </c>
      <c r="J48" s="47" t="s">
        <v>114</v>
      </c>
      <c r="K48" s="47" t="s">
        <v>114</v>
      </c>
      <c r="L48" s="47" t="s">
        <v>114</v>
      </c>
      <c r="M48" s="47" t="s">
        <v>114</v>
      </c>
      <c r="N48" s="47" t="s">
        <v>114</v>
      </c>
      <c r="O48" s="47" t="s">
        <v>114</v>
      </c>
      <c r="P48" s="47" t="s">
        <v>114</v>
      </c>
    </row>
    <row r="49" spans="1:17" x14ac:dyDescent="0.25">
      <c r="A49" s="48" t="s">
        <v>67</v>
      </c>
      <c r="B49" s="47" t="s">
        <v>74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7" x14ac:dyDescent="0.25">
      <c r="A50" s="48" t="s">
        <v>68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1:17" x14ac:dyDescent="0.25">
      <c r="A51" s="48" t="s">
        <v>69</v>
      </c>
      <c r="B51" s="47"/>
      <c r="C51" s="47"/>
      <c r="D51" s="47" t="s">
        <v>114</v>
      </c>
      <c r="E51" s="47" t="s">
        <v>114</v>
      </c>
      <c r="F51" s="47" t="s">
        <v>114</v>
      </c>
      <c r="G51" s="47" t="s">
        <v>114</v>
      </c>
      <c r="H51" s="47" t="s">
        <v>114</v>
      </c>
      <c r="I51" s="47" t="s">
        <v>114</v>
      </c>
      <c r="J51" s="47" t="s">
        <v>114</v>
      </c>
      <c r="K51" s="47" t="s">
        <v>114</v>
      </c>
      <c r="L51" s="47" t="s">
        <v>114</v>
      </c>
      <c r="M51" s="47" t="s">
        <v>114</v>
      </c>
      <c r="N51" s="47" t="s">
        <v>114</v>
      </c>
      <c r="O51" s="47" t="s">
        <v>114</v>
      </c>
      <c r="P51" s="47" t="s">
        <v>114</v>
      </c>
    </row>
    <row r="52" spans="1:17" x14ac:dyDescent="0.25">
      <c r="A52" s="48" t="s">
        <v>70</v>
      </c>
      <c r="B52" s="47"/>
      <c r="C52" s="47"/>
      <c r="D52" s="47" t="s">
        <v>114</v>
      </c>
      <c r="E52" s="47" t="s">
        <v>114</v>
      </c>
      <c r="F52" s="47" t="s">
        <v>114</v>
      </c>
      <c r="G52" s="47" t="s">
        <v>114</v>
      </c>
      <c r="H52" s="47" t="s">
        <v>114</v>
      </c>
      <c r="I52" s="47" t="s">
        <v>114</v>
      </c>
      <c r="J52" s="47" t="s">
        <v>114</v>
      </c>
      <c r="K52" s="47" t="s">
        <v>114</v>
      </c>
      <c r="L52" s="47" t="s">
        <v>114</v>
      </c>
      <c r="M52" s="47" t="s">
        <v>114</v>
      </c>
      <c r="N52" s="47" t="s">
        <v>114</v>
      </c>
      <c r="O52" s="47" t="s">
        <v>114</v>
      </c>
      <c r="P52" s="47" t="s">
        <v>114</v>
      </c>
    </row>
    <row r="53" spans="1:17" x14ac:dyDescent="0.25">
      <c r="A53" s="48" t="s">
        <v>71</v>
      </c>
      <c r="B53" s="47"/>
      <c r="C53" s="47"/>
      <c r="D53" s="47" t="s">
        <v>114</v>
      </c>
      <c r="E53" s="47" t="s">
        <v>114</v>
      </c>
      <c r="F53" s="47" t="s">
        <v>114</v>
      </c>
      <c r="G53" s="47" t="s">
        <v>114</v>
      </c>
      <c r="H53" s="47" t="s">
        <v>114</v>
      </c>
      <c r="I53" s="47" t="s">
        <v>114</v>
      </c>
      <c r="J53" s="47" t="s">
        <v>114</v>
      </c>
      <c r="K53" s="47" t="s">
        <v>114</v>
      </c>
      <c r="L53" s="47" t="s">
        <v>114</v>
      </c>
      <c r="M53" s="47" t="s">
        <v>114</v>
      </c>
      <c r="N53" s="47" t="s">
        <v>114</v>
      </c>
      <c r="O53" s="47" t="s">
        <v>114</v>
      </c>
      <c r="P53" s="47" t="s">
        <v>114</v>
      </c>
    </row>
    <row r="54" spans="1:17" x14ac:dyDescent="0.25">
      <c r="A54" s="48" t="s">
        <v>72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7" x14ac:dyDescent="0.25">
      <c r="A55" s="1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7" ht="15.75" thickBot="1" x14ac:dyDescent="0.3">
      <c r="A56" s="27" t="s">
        <v>73</v>
      </c>
      <c r="B56" s="31">
        <f>COUNTA(B45:B55)</f>
        <v>2</v>
      </c>
      <c r="C56" s="31">
        <f>COUNTA(C45:C55)</f>
        <v>1</v>
      </c>
      <c r="D56" s="31">
        <f>COUNTA(D45:D55)</f>
        <v>6</v>
      </c>
      <c r="E56" s="31">
        <f>COUNTA(E45:E55)</f>
        <v>6</v>
      </c>
      <c r="F56" s="31">
        <f>COUNTA(F45:F55)</f>
        <v>6</v>
      </c>
    </row>
    <row r="57" spans="1:17" ht="16.5" thickTop="1" x14ac:dyDescent="0.25">
      <c r="A57" s="42" t="s">
        <v>1</v>
      </c>
    </row>
    <row r="58" spans="1:17" ht="30.75" x14ac:dyDescent="0.25">
      <c r="A58" s="10" t="s">
        <v>5</v>
      </c>
      <c r="Q58" t="s">
        <v>83</v>
      </c>
    </row>
    <row r="59" spans="1:17" x14ac:dyDescent="0.25">
      <c r="A59" t="s">
        <v>96</v>
      </c>
      <c r="B59" s="18">
        <v>3100</v>
      </c>
      <c r="C59" s="18">
        <v>3100</v>
      </c>
      <c r="D59" s="18">
        <v>117</v>
      </c>
      <c r="E59" s="18">
        <v>117</v>
      </c>
      <c r="F59" s="18">
        <v>116</v>
      </c>
      <c r="G59" s="18">
        <v>116</v>
      </c>
      <c r="H59" s="18">
        <v>116</v>
      </c>
      <c r="I59" s="18">
        <v>116</v>
      </c>
      <c r="J59" s="18">
        <v>116</v>
      </c>
      <c r="K59" s="18">
        <v>116</v>
      </c>
      <c r="L59" s="18">
        <v>116</v>
      </c>
      <c r="M59" s="18">
        <v>116</v>
      </c>
      <c r="N59" s="18">
        <v>116</v>
      </c>
      <c r="O59" s="18">
        <v>116</v>
      </c>
      <c r="P59" s="18">
        <v>116</v>
      </c>
    </row>
    <row r="60" spans="1:17" x14ac:dyDescent="0.25">
      <c r="A60" t="s">
        <v>97</v>
      </c>
      <c r="B60" s="18">
        <v>2850</v>
      </c>
      <c r="C60" s="18">
        <v>2850</v>
      </c>
      <c r="D60" s="18">
        <v>117</v>
      </c>
      <c r="E60" s="18">
        <v>117</v>
      </c>
      <c r="F60" s="18">
        <v>116</v>
      </c>
      <c r="G60" s="18">
        <v>116</v>
      </c>
      <c r="H60" s="18">
        <v>116</v>
      </c>
      <c r="I60" s="18">
        <v>116</v>
      </c>
      <c r="J60" s="18">
        <v>116</v>
      </c>
      <c r="K60" s="18">
        <v>116</v>
      </c>
      <c r="L60" s="18">
        <v>116</v>
      </c>
      <c r="M60" s="18">
        <v>116</v>
      </c>
      <c r="N60" s="18">
        <v>116</v>
      </c>
      <c r="O60" s="18">
        <v>116</v>
      </c>
      <c r="P60" s="18">
        <v>116</v>
      </c>
    </row>
    <row r="61" spans="1:17" ht="15.75" thickBot="1" x14ac:dyDescent="0.3">
      <c r="A61" s="27" t="s">
        <v>98</v>
      </c>
      <c r="B61" s="38">
        <f t="shared" ref="B61:N61" si="18">+B60/B59</f>
        <v>0.91935483870967738</v>
      </c>
      <c r="C61" s="38">
        <f t="shared" si="18"/>
        <v>0.91935483870967738</v>
      </c>
      <c r="D61" s="38">
        <f t="shared" si="18"/>
        <v>1</v>
      </c>
      <c r="E61" s="38">
        <f t="shared" si="18"/>
        <v>1</v>
      </c>
      <c r="F61" s="38">
        <f t="shared" si="18"/>
        <v>1</v>
      </c>
      <c r="G61" s="38">
        <f t="shared" si="18"/>
        <v>1</v>
      </c>
      <c r="H61" s="38">
        <f t="shared" si="18"/>
        <v>1</v>
      </c>
      <c r="I61" s="38">
        <f t="shared" si="18"/>
        <v>1</v>
      </c>
      <c r="J61" s="38">
        <f t="shared" si="18"/>
        <v>1</v>
      </c>
      <c r="K61" s="38">
        <f t="shared" si="18"/>
        <v>1</v>
      </c>
      <c r="L61" s="38">
        <f t="shared" si="18"/>
        <v>1</v>
      </c>
      <c r="M61" s="38">
        <f t="shared" si="18"/>
        <v>1</v>
      </c>
      <c r="N61" s="38">
        <f t="shared" si="18"/>
        <v>1</v>
      </c>
      <c r="O61" s="38">
        <f t="shared" ref="O61:P61" si="19">+O60/O59</f>
        <v>1</v>
      </c>
      <c r="P61" s="38">
        <f t="shared" si="19"/>
        <v>1</v>
      </c>
    </row>
    <row r="62" spans="1:17" ht="15.75" thickTop="1" x14ac:dyDescent="0.25"/>
    <row r="63" spans="1:17" ht="30.75" x14ac:dyDescent="0.25">
      <c r="A63" s="10" t="s">
        <v>82</v>
      </c>
      <c r="Q63" t="s">
        <v>80</v>
      </c>
    </row>
    <row r="64" spans="1:17" x14ac:dyDescent="0.25">
      <c r="A64" t="s">
        <v>99</v>
      </c>
      <c r="B64" s="18">
        <v>5675</v>
      </c>
      <c r="C64" s="18">
        <v>5675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t="s">
        <v>81</v>
      </c>
    </row>
    <row r="65" spans="1:17" x14ac:dyDescent="0.25">
      <c r="A65" t="s">
        <v>100</v>
      </c>
      <c r="B65" s="18">
        <v>4122</v>
      </c>
      <c r="C65" s="18">
        <v>4122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7" ht="15.75" thickBot="1" x14ac:dyDescent="0.3">
      <c r="A66" s="27" t="s">
        <v>101</v>
      </c>
      <c r="B66" s="38">
        <f>+B65/B64</f>
        <v>0.72634361233480171</v>
      </c>
      <c r="C66" s="38">
        <f>+C65/C64</f>
        <v>0.72634361233480171</v>
      </c>
      <c r="D66" s="38" t="e">
        <f>+D65/D64</f>
        <v>#DIV/0!</v>
      </c>
      <c r="E66" s="38" t="e">
        <f>+E65/E64</f>
        <v>#DIV/0!</v>
      </c>
      <c r="F66" s="38" t="e">
        <f>+F65/F64</f>
        <v>#DIV/0!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spans="1:17" ht="15.75" thickTop="1" x14ac:dyDescent="0.25"/>
    <row r="68" spans="1:17" ht="15.75" x14ac:dyDescent="0.25">
      <c r="A68" s="10" t="s">
        <v>13</v>
      </c>
      <c r="Q68" t="s">
        <v>102</v>
      </c>
    </row>
    <row r="69" spans="1:17" x14ac:dyDescent="0.25">
      <c r="A69" t="s">
        <v>85</v>
      </c>
    </row>
    <row r="70" spans="1:17" x14ac:dyDescent="0.25">
      <c r="A70" s="27" t="s">
        <v>86</v>
      </c>
      <c r="B70" s="18">
        <v>15000000</v>
      </c>
      <c r="C70" s="18">
        <v>15000000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7" x14ac:dyDescent="0.25">
      <c r="A71" s="27" t="s">
        <v>87</v>
      </c>
      <c r="B71" s="18">
        <v>6000000</v>
      </c>
      <c r="C71" s="18">
        <f>+B71+B70/$B72</f>
        <v>6250000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7" x14ac:dyDescent="0.25">
      <c r="A72" s="28" t="s">
        <v>89</v>
      </c>
      <c r="B72" s="18">
        <v>60</v>
      </c>
      <c r="C72" s="18">
        <v>60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7" x14ac:dyDescent="0.25">
      <c r="A73" s="28" t="s">
        <v>90</v>
      </c>
      <c r="B73" s="45">
        <f>IF(B70&gt;0,+B71/(B70/B72),"")</f>
        <v>24</v>
      </c>
      <c r="C73" s="45">
        <f>IF(C70&gt;0,+C71/(C70/C72),"")</f>
        <v>25</v>
      </c>
      <c r="D73" s="45" t="str">
        <f>IF(D70&gt;0,+D71/(D70/D72),"")</f>
        <v/>
      </c>
      <c r="E73" s="45" t="str">
        <f>IF(E70&gt;0,+E71/(E70/E72),"")</f>
        <v/>
      </c>
      <c r="F73" s="45" t="str">
        <f>IF(F70&gt;0,+F71/(F70/F72),"")</f>
        <v/>
      </c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7" x14ac:dyDescent="0.25">
      <c r="A74" s="43" t="s">
        <v>91</v>
      </c>
      <c r="B74" s="46">
        <f>IF(ISNUMBER(B73)=TRUE,B73*B70/B$107,"")</f>
        <v>5.1428571428571432</v>
      </c>
      <c r="C74" s="46">
        <f>IF(ISNUMBER(C73)=TRUE,C73*C70/C$107,"")</f>
        <v>5</v>
      </c>
      <c r="D74" s="46" t="str">
        <f>IF(ISNUMBER(D73)=TRUE,D73*D70/D$107,"")</f>
        <v/>
      </c>
      <c r="E74" s="46" t="str">
        <f>IF(ISNUMBER(E73)=TRUE,E73*E70/E$107,"")</f>
        <v/>
      </c>
      <c r="F74" s="46" t="str">
        <f>IF(ISNUMBER(F73)=TRUE,F73*F70/F$107,"")</f>
        <v/>
      </c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1:17" x14ac:dyDescent="0.25">
      <c r="A75" t="s">
        <v>84</v>
      </c>
    </row>
    <row r="76" spans="1:17" x14ac:dyDescent="0.25">
      <c r="A76" s="27" t="s">
        <v>86</v>
      </c>
      <c r="B76" s="18">
        <v>15000000</v>
      </c>
      <c r="C76" s="18">
        <v>18000000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7" x14ac:dyDescent="0.25">
      <c r="A77" s="27" t="s">
        <v>87</v>
      </c>
      <c r="B77" s="18">
        <v>6000000</v>
      </c>
      <c r="C77" s="18">
        <f>+B77+B76/$B78</f>
        <v>6200000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7" x14ac:dyDescent="0.25">
      <c r="A78" s="28" t="s">
        <v>89</v>
      </c>
      <c r="B78" s="18">
        <v>75</v>
      </c>
      <c r="C78" s="18">
        <v>75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7" x14ac:dyDescent="0.25">
      <c r="A79" s="28" t="s">
        <v>90</v>
      </c>
      <c r="B79" s="45">
        <f>IF(B76&gt;0,+B77/(B76/B78),"")</f>
        <v>30</v>
      </c>
      <c r="C79" s="45">
        <f>IF(C76&gt;0,+C77/(C76/C78),"")</f>
        <v>25.833333333333332</v>
      </c>
      <c r="D79" s="45" t="str">
        <f>IF(D76&gt;0,+D77/(D76/D78),"")</f>
        <v/>
      </c>
      <c r="E79" s="45" t="str">
        <f>IF(E76&gt;0,+E77/(E76/E78),"")</f>
        <v/>
      </c>
      <c r="F79" s="45" t="str">
        <f>IF(F76&gt;0,+F77/(F76/F78),"")</f>
        <v/>
      </c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7" x14ac:dyDescent="0.25">
      <c r="A80" s="43" t="s">
        <v>91</v>
      </c>
      <c r="B80" s="46">
        <f>IF(ISNUMBER(B79)=TRUE,B79*B76/B$107,"")</f>
        <v>6.4285714285714288</v>
      </c>
      <c r="C80" s="46">
        <f>IF(ISNUMBER(C79)=TRUE,C79*C76/C$107,"")</f>
        <v>6.2</v>
      </c>
      <c r="D80" s="46" t="str">
        <f>IF(ISNUMBER(D79)=TRUE,D79*D76/D$107,"")</f>
        <v/>
      </c>
      <c r="E80" s="46" t="str">
        <f>IF(ISNUMBER(E79)=TRUE,E79*E76/E$107,"")</f>
        <v/>
      </c>
      <c r="F80" s="46" t="str">
        <f>IF(ISNUMBER(F79)=TRUE,F79*F76/F$107,"")</f>
        <v/>
      </c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16" x14ac:dyDescent="0.25">
      <c r="A81" t="s">
        <v>88</v>
      </c>
    </row>
    <row r="82" spans="1:16" x14ac:dyDescent="0.25">
      <c r="A82" s="27" t="s">
        <v>86</v>
      </c>
      <c r="B82" s="18">
        <v>30000000</v>
      </c>
      <c r="C82" s="18">
        <v>32000000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x14ac:dyDescent="0.25">
      <c r="A83" s="27" t="s">
        <v>87</v>
      </c>
      <c r="B83" s="18">
        <v>18000000</v>
      </c>
      <c r="C83" s="18">
        <f>+B83+B82/$B84</f>
        <v>19500000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x14ac:dyDescent="0.25">
      <c r="A84" s="28" t="s">
        <v>89</v>
      </c>
      <c r="B84" s="18">
        <v>20</v>
      </c>
      <c r="C84" s="18">
        <v>20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x14ac:dyDescent="0.25">
      <c r="A85" s="28" t="s">
        <v>90</v>
      </c>
      <c r="B85" s="45">
        <f>IF(B82&gt;0,+B83/(B82/B84),"")</f>
        <v>12</v>
      </c>
      <c r="C85" s="45">
        <f>IF(C82&gt;0,+C83/(C82/C84),"")</f>
        <v>12.1875</v>
      </c>
      <c r="D85" s="45" t="str">
        <f>IF(D82&gt;0,+D83/(D82/D84),"")</f>
        <v/>
      </c>
      <c r="E85" s="45" t="str">
        <f>IF(E82&gt;0,+E83/(E82/E84),"")</f>
        <v/>
      </c>
      <c r="F85" s="45" t="str">
        <f>IF(F82&gt;0,+F83/(F82/F84),"")</f>
        <v/>
      </c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x14ac:dyDescent="0.25">
      <c r="A86" s="43" t="s">
        <v>91</v>
      </c>
      <c r="B86" s="46">
        <f>IF(ISNUMBER(B85)=TRUE,B85*B82/B$107,"")</f>
        <v>5.1428571428571432</v>
      </c>
      <c r="C86" s="46">
        <f>IF(ISNUMBER(C85)=TRUE,C85*C82/C$107,"")</f>
        <v>5.2</v>
      </c>
      <c r="D86" s="46" t="str">
        <f>IF(ISNUMBER(D85)=TRUE,D85*D82/D$107,"")</f>
        <v/>
      </c>
      <c r="E86" s="46" t="str">
        <f>IF(ISNUMBER(E85)=TRUE,E85*E82/E$107,"")</f>
        <v/>
      </c>
      <c r="F86" s="46" t="str">
        <f>IF(ISNUMBER(F85)=TRUE,F85*F82/F$107,"")</f>
        <v/>
      </c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1:16" x14ac:dyDescent="0.25">
      <c r="A87" t="s">
        <v>92</v>
      </c>
    </row>
    <row r="88" spans="1:16" x14ac:dyDescent="0.25">
      <c r="A88" s="27" t="s">
        <v>86</v>
      </c>
      <c r="B88" s="18">
        <v>10000000</v>
      </c>
      <c r="C88" s="18">
        <v>10000000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x14ac:dyDescent="0.25">
      <c r="A89" s="27" t="s">
        <v>87</v>
      </c>
      <c r="B89" s="18">
        <v>2000000</v>
      </c>
      <c r="C89" s="18">
        <f>+B89+B88/$B90</f>
        <v>2133333.3333333335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x14ac:dyDescent="0.25">
      <c r="A90" s="28" t="s">
        <v>89</v>
      </c>
      <c r="B90" s="18">
        <v>75</v>
      </c>
      <c r="C90" s="18">
        <f>+B90</f>
        <v>75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x14ac:dyDescent="0.25">
      <c r="A91" s="28" t="s">
        <v>90</v>
      </c>
      <c r="B91" s="45">
        <f>IF(B88&gt;0,+B89/(B88/B90),"")</f>
        <v>14.999999999999998</v>
      </c>
      <c r="C91" s="45">
        <f>IF(C88&gt;0,+C89/(C88/C90),"")</f>
        <v>16</v>
      </c>
      <c r="D91" s="45" t="str">
        <f>IF(D88&gt;0,+D89/(D88/D90),"")</f>
        <v/>
      </c>
      <c r="E91" s="45" t="str">
        <f>IF(E88&gt;0,+E89/(E88/E90),"")</f>
        <v/>
      </c>
      <c r="F91" s="45" t="str">
        <f>IF(F88&gt;0,+F89/(F88/F90),"")</f>
        <v/>
      </c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1:16" x14ac:dyDescent="0.25">
      <c r="A92" s="43" t="s">
        <v>91</v>
      </c>
      <c r="B92" s="46">
        <f>IF(ISNUMBER(B91)=TRUE,B91*B88/B$107,"")</f>
        <v>2.1428571428571423</v>
      </c>
      <c r="C92" s="46">
        <f>IF(ISNUMBER(C91)=TRUE,C91*C88/C$107,"")</f>
        <v>2.1333333333333333</v>
      </c>
      <c r="D92" s="46" t="str">
        <f>IF(ISNUMBER(D91)=TRUE,D91*D88/D$107,"")</f>
        <v/>
      </c>
      <c r="E92" s="46" t="str">
        <f>IF(ISNUMBER(E91)=TRUE,E91*E88/E$107,"")</f>
        <v/>
      </c>
      <c r="F92" s="46" t="str">
        <f>IF(ISNUMBER(F91)=TRUE,F91*F88/F$107,"")</f>
        <v/>
      </c>
      <c r="G92" s="46"/>
      <c r="H92" s="46"/>
      <c r="I92" s="46"/>
      <c r="J92" s="46"/>
      <c r="K92" s="46"/>
      <c r="L92" s="46"/>
      <c r="M92" s="46"/>
      <c r="N92" s="46"/>
      <c r="O92" s="46"/>
      <c r="P92" s="46"/>
    </row>
    <row r="94" spans="1:16" x14ac:dyDescent="0.25">
      <c r="A94" s="27" t="s">
        <v>86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x14ac:dyDescent="0.25">
      <c r="A95" s="27" t="s">
        <v>87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x14ac:dyDescent="0.25">
      <c r="A96" s="28" t="s">
        <v>89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7" x14ac:dyDescent="0.25">
      <c r="A97" s="28" t="s">
        <v>90</v>
      </c>
      <c r="B97" s="45" t="str">
        <f>IF(B94&gt;0,+B95/(B94/B96),"")</f>
        <v/>
      </c>
      <c r="C97" s="45" t="str">
        <f>IF(C94&gt;0,+C95/(C94/C96),"")</f>
        <v/>
      </c>
      <c r="D97" s="45" t="str">
        <f>IF(D94&gt;0,+D95/(D94/D96),"")</f>
        <v/>
      </c>
      <c r="E97" s="45" t="str">
        <f>IF(E94&gt;0,+E95/(E94/E96),"")</f>
        <v/>
      </c>
      <c r="F97" s="45" t="str">
        <f>IF(F94&gt;0,+F95/(F94/F96),"")</f>
        <v/>
      </c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7" x14ac:dyDescent="0.25">
      <c r="A98" s="43" t="s">
        <v>91</v>
      </c>
      <c r="B98" s="46" t="str">
        <f>IF(ISNUMBER(B97)=TRUE,B97*B94/B$107,"")</f>
        <v/>
      </c>
      <c r="C98" s="46" t="str">
        <f>IF(ISNUMBER(C97)=TRUE,C97*C94/C$107,"")</f>
        <v/>
      </c>
      <c r="D98" s="46" t="str">
        <f>IF(ISNUMBER(D97)=TRUE,D97*D94/D$107,"")</f>
        <v/>
      </c>
      <c r="E98" s="46" t="str">
        <f>IF(ISNUMBER(E97)=TRUE,E97*E94/E$107,"")</f>
        <v/>
      </c>
      <c r="F98" s="46" t="str">
        <f>IF(ISNUMBER(F97)=TRUE,F97*F94/F$107,"")</f>
        <v/>
      </c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100" spans="1:17" x14ac:dyDescent="0.25">
      <c r="A100" s="27" t="s">
        <v>86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7" x14ac:dyDescent="0.25">
      <c r="A101" s="27" t="s">
        <v>87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7" x14ac:dyDescent="0.25">
      <c r="A102" s="28" t="s">
        <v>89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7" x14ac:dyDescent="0.25">
      <c r="A103" s="28" t="s">
        <v>90</v>
      </c>
      <c r="B103" s="45" t="str">
        <f>IF(B100&gt;0,+B101/(B100/B102),"")</f>
        <v/>
      </c>
      <c r="C103" s="45" t="str">
        <f>IF(C100&gt;0,+C101/(C100/C102),"")</f>
        <v/>
      </c>
      <c r="D103" s="45" t="str">
        <f>IF(D100&gt;0,+D101/(D100/D102),"")</f>
        <v/>
      </c>
      <c r="E103" s="45" t="str">
        <f>IF(E100&gt;0,+E101/(E100/E102),"")</f>
        <v/>
      </c>
      <c r="F103" s="45" t="str">
        <f>IF(F100&gt;0,+F101/(F100/F102),"")</f>
        <v/>
      </c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7" x14ac:dyDescent="0.25">
      <c r="A104" s="43" t="s">
        <v>91</v>
      </c>
      <c r="B104" s="46" t="str">
        <f>IF(ISNUMBER(B103)=TRUE,B103*B100/B$107,"")</f>
        <v/>
      </c>
      <c r="C104" s="46" t="str">
        <f>IF(ISNUMBER(C103)=TRUE,C103*C100/C$107,"")</f>
        <v/>
      </c>
      <c r="D104" s="46" t="str">
        <f>IF(ISNUMBER(D103)=TRUE,D103*D100/D$107,"")</f>
        <v/>
      </c>
      <c r="E104" s="46" t="str">
        <f>IF(ISNUMBER(E103)=TRUE,E103*E100/E$107,"")</f>
        <v/>
      </c>
      <c r="F104" s="46" t="str">
        <f>IF(ISNUMBER(F103)=TRUE,F103*F100/F$107,"")</f>
        <v/>
      </c>
      <c r="G104" s="46"/>
      <c r="H104" s="46"/>
      <c r="I104" s="46"/>
      <c r="J104" s="46"/>
      <c r="K104" s="46"/>
      <c r="L104" s="46"/>
      <c r="M104" s="46"/>
      <c r="N104" s="46"/>
      <c r="O104" s="46"/>
      <c r="P104" s="46"/>
    </row>
    <row r="106" spans="1:17" x14ac:dyDescent="0.25">
      <c r="A106" t="s">
        <v>93</v>
      </c>
    </row>
    <row r="107" spans="1:17" x14ac:dyDescent="0.25">
      <c r="A107" s="27" t="s">
        <v>94</v>
      </c>
      <c r="B107">
        <f>SUMIF($A$68:$A$106,"Historical cost",B68:B106)</f>
        <v>70000000</v>
      </c>
      <c r="C107">
        <f>SUMIF($A$68:$A$106,"Historical cost",C68:C106)</f>
        <v>75000000</v>
      </c>
      <c r="D107">
        <f>SUMIF($A$68:$A$106,"Historical cost",D68:D106)</f>
        <v>0</v>
      </c>
      <c r="E107">
        <f>SUMIF($A$68:$A$106,"Historical cost",E68:E106)</f>
        <v>0</v>
      </c>
      <c r="F107">
        <f>SUMIF($A$68:$A$106,"Historical cost",F68:F106)</f>
        <v>0</v>
      </c>
    </row>
    <row r="108" spans="1:17" ht="15.75" thickBot="1" x14ac:dyDescent="0.3">
      <c r="A108" s="27" t="s">
        <v>95</v>
      </c>
      <c r="B108" s="44">
        <f>SUMIF($A$68:$A$106,$A$74,B68:B106)</f>
        <v>18.857142857142858</v>
      </c>
      <c r="C108" s="44">
        <f>SUMIF($A$68:$A$106,$A$74,C68:C106)</f>
        <v>18.533333333333331</v>
      </c>
      <c r="D108" s="44">
        <f>SUMIF($A$68:$A$106,$A$74,D68:D106)</f>
        <v>0</v>
      </c>
      <c r="E108" s="44">
        <f>SUMIF($A$68:$A$106,$A$74,E68:E106)</f>
        <v>0</v>
      </c>
      <c r="F108" s="44">
        <f>SUMIF($A$68:$A$106,$A$74,F68:F106)</f>
        <v>0</v>
      </c>
      <c r="G108" s="53"/>
      <c r="H108" s="53"/>
      <c r="I108" s="53"/>
      <c r="J108" s="53"/>
      <c r="K108" s="53"/>
      <c r="L108" s="53"/>
      <c r="M108" s="53"/>
      <c r="N108" s="53"/>
      <c r="O108" s="53"/>
      <c r="P108" s="53"/>
    </row>
    <row r="109" spans="1:17" ht="15.75" thickTop="1" x14ac:dyDescent="0.25"/>
    <row r="110" spans="1:17" ht="15.75" x14ac:dyDescent="0.25">
      <c r="A110" s="50" t="s">
        <v>2</v>
      </c>
    </row>
    <row r="111" spans="1:17" ht="15.75" x14ac:dyDescent="0.25">
      <c r="A111" s="11" t="s">
        <v>103</v>
      </c>
      <c r="Q111" t="s">
        <v>25</v>
      </c>
    </row>
    <row r="112" spans="1:17" x14ac:dyDescent="0.25">
      <c r="A112" t="s">
        <v>103</v>
      </c>
      <c r="B112">
        <v>120</v>
      </c>
      <c r="C112">
        <v>125</v>
      </c>
      <c r="D112">
        <v>0</v>
      </c>
      <c r="E112">
        <v>0</v>
      </c>
      <c r="F112">
        <v>0</v>
      </c>
    </row>
    <row r="113" spans="1:17" ht="15.75" thickBot="1" x14ac:dyDescent="0.3">
      <c r="A113" s="27" t="s">
        <v>11</v>
      </c>
      <c r="B113" s="31">
        <f>+B112/(B$2/1000)</f>
        <v>16</v>
      </c>
      <c r="C113" s="31">
        <f>+C112/(C$2/1000)</f>
        <v>16.891891891891891</v>
      </c>
      <c r="D113" s="31">
        <v>0</v>
      </c>
      <c r="E113" s="31">
        <v>0</v>
      </c>
      <c r="F113" s="31">
        <v>0</v>
      </c>
    </row>
    <row r="114" spans="1:17" ht="15.75" thickTop="1" x14ac:dyDescent="0.25"/>
    <row r="115" spans="1:17" ht="15.75" x14ac:dyDescent="0.25">
      <c r="A115" s="11" t="s">
        <v>118</v>
      </c>
      <c r="Q115" t="s">
        <v>25</v>
      </c>
    </row>
    <row r="116" spans="1:17" x14ac:dyDescent="0.25">
      <c r="A116" t="s">
        <v>104</v>
      </c>
      <c r="B116">
        <v>420</v>
      </c>
      <c r="C116">
        <v>425</v>
      </c>
      <c r="D116">
        <v>1</v>
      </c>
      <c r="E116">
        <v>4</v>
      </c>
      <c r="F116">
        <v>2</v>
      </c>
      <c r="G116">
        <v>1</v>
      </c>
      <c r="H116">
        <v>0</v>
      </c>
      <c r="I116">
        <v>0</v>
      </c>
      <c r="J116">
        <v>1</v>
      </c>
      <c r="K116">
        <v>0</v>
      </c>
      <c r="L116">
        <v>0</v>
      </c>
    </row>
    <row r="117" spans="1:17" ht="15.75" thickBot="1" x14ac:dyDescent="0.3">
      <c r="A117" s="27" t="s">
        <v>115</v>
      </c>
      <c r="B117" s="31">
        <f>+B116/(B$2/1000)</f>
        <v>56</v>
      </c>
      <c r="C117" s="31">
        <f>+C116/(C$2/1000)</f>
        <v>57.432432432432428</v>
      </c>
      <c r="D117" s="65">
        <f>D116/D2</f>
        <v>3.0864197530864196E-3</v>
      </c>
      <c r="E117" s="65">
        <f t="shared" ref="E117:G117" si="20">E116/E2</f>
        <v>1.2345679012345678E-2</v>
      </c>
      <c r="F117" s="65">
        <f t="shared" si="20"/>
        <v>6.1728395061728392E-3</v>
      </c>
      <c r="G117" s="65">
        <f t="shared" si="20"/>
        <v>3.0864197530864196E-3</v>
      </c>
      <c r="H117" s="65">
        <f t="shared" ref="H117:J117" si="21">H116/H2</f>
        <v>0</v>
      </c>
      <c r="I117" s="65">
        <f t="shared" ref="I117" si="22">I116/I2</f>
        <v>0</v>
      </c>
      <c r="J117" s="65">
        <f t="shared" si="21"/>
        <v>3.0864197530864196E-3</v>
      </c>
      <c r="K117" s="65">
        <f t="shared" ref="K117:M117" si="23">K116/K2</f>
        <v>0</v>
      </c>
      <c r="L117" s="65">
        <f t="shared" si="23"/>
        <v>0</v>
      </c>
      <c r="M117" s="65">
        <f t="shared" si="23"/>
        <v>0</v>
      </c>
      <c r="N117" s="65">
        <f t="shared" ref="N117:O117" si="24">N116/N2</f>
        <v>0</v>
      </c>
      <c r="O117" s="65">
        <f t="shared" si="24"/>
        <v>0</v>
      </c>
      <c r="P117" s="65">
        <f t="shared" ref="P117" si="25">P116/P2</f>
        <v>0</v>
      </c>
    </row>
    <row r="118" spans="1:17" ht="15.75" thickTop="1" x14ac:dyDescent="0.25"/>
    <row r="119" spans="1:17" ht="15.75" x14ac:dyDescent="0.25">
      <c r="A119" s="11" t="s">
        <v>15</v>
      </c>
      <c r="Q119" t="s">
        <v>23</v>
      </c>
    </row>
    <row r="120" spans="1:17" ht="15.75" thickBot="1" x14ac:dyDescent="0.3">
      <c r="A120" t="s">
        <v>105</v>
      </c>
      <c r="B120" s="51">
        <v>850</v>
      </c>
      <c r="C120" s="51">
        <v>875</v>
      </c>
      <c r="D120" s="51">
        <v>0</v>
      </c>
      <c r="E120" s="51">
        <v>0</v>
      </c>
      <c r="F120" s="51">
        <v>0</v>
      </c>
    </row>
    <row r="121" spans="1:17" ht="15.75" thickTop="1" x14ac:dyDescent="0.25"/>
    <row r="122" spans="1:17" ht="15.75" x14ac:dyDescent="0.25">
      <c r="A122" s="52" t="s">
        <v>3</v>
      </c>
    </row>
    <row r="123" spans="1:17" ht="45.75" x14ac:dyDescent="0.25">
      <c r="A123" s="12" t="s">
        <v>12</v>
      </c>
      <c r="Q123" t="s">
        <v>21</v>
      </c>
    </row>
    <row r="124" spans="1:17" x14ac:dyDescent="0.25">
      <c r="A124" t="s">
        <v>106</v>
      </c>
      <c r="B124" s="53">
        <v>7.5</v>
      </c>
      <c r="C124" s="53">
        <v>8.5</v>
      </c>
      <c r="D124" s="53">
        <v>5</v>
      </c>
      <c r="E124" s="53">
        <v>5</v>
      </c>
      <c r="F124" s="53">
        <v>5</v>
      </c>
      <c r="G124" s="53">
        <v>5</v>
      </c>
      <c r="H124" s="53">
        <v>5</v>
      </c>
      <c r="I124" s="53">
        <v>5</v>
      </c>
      <c r="J124" s="53">
        <v>5</v>
      </c>
      <c r="K124" s="53">
        <v>5</v>
      </c>
      <c r="L124" s="53">
        <v>5</v>
      </c>
      <c r="M124" s="53">
        <v>5</v>
      </c>
      <c r="N124" s="53">
        <v>5</v>
      </c>
      <c r="O124" s="53">
        <v>5</v>
      </c>
      <c r="P124" s="53">
        <v>5</v>
      </c>
    </row>
    <row r="125" spans="1:17" x14ac:dyDescent="0.25">
      <c r="A125" t="s">
        <v>107</v>
      </c>
      <c r="B125">
        <v>35</v>
      </c>
      <c r="C125">
        <v>35</v>
      </c>
      <c r="D125">
        <v>3</v>
      </c>
      <c r="E125">
        <v>2.99</v>
      </c>
      <c r="F125">
        <v>2.99</v>
      </c>
      <c r="G125">
        <v>2.99</v>
      </c>
      <c r="H125">
        <v>2.99</v>
      </c>
      <c r="I125">
        <v>2.99</v>
      </c>
      <c r="J125">
        <v>2.99</v>
      </c>
      <c r="K125">
        <v>2.99</v>
      </c>
      <c r="L125">
        <v>2.99</v>
      </c>
      <c r="M125">
        <v>2.99</v>
      </c>
      <c r="N125">
        <v>2.99</v>
      </c>
      <c r="O125">
        <v>2.99</v>
      </c>
      <c r="P125">
        <v>2.99</v>
      </c>
    </row>
    <row r="126" spans="1:17" ht="15.75" thickBot="1" x14ac:dyDescent="0.3">
      <c r="B126" s="54">
        <f t="shared" ref="B126:H126" si="26">+B124/B125</f>
        <v>0.21428571428571427</v>
      </c>
      <c r="C126" s="54">
        <f t="shared" si="26"/>
        <v>0.24285714285714285</v>
      </c>
      <c r="D126" s="54">
        <f t="shared" si="26"/>
        <v>1.6666666666666667</v>
      </c>
      <c r="E126" s="54">
        <f t="shared" si="26"/>
        <v>1.6722408026755851</v>
      </c>
      <c r="F126" s="54">
        <f t="shared" si="26"/>
        <v>1.6722408026755851</v>
      </c>
      <c r="G126" s="54">
        <f t="shared" si="26"/>
        <v>1.6722408026755851</v>
      </c>
      <c r="H126" s="54">
        <f t="shared" si="26"/>
        <v>1.6722408026755851</v>
      </c>
      <c r="I126" s="54">
        <f t="shared" ref="I126:J126" si="27">+I124/I125</f>
        <v>1.6722408026755851</v>
      </c>
      <c r="J126" s="54">
        <f t="shared" si="27"/>
        <v>1.6722408026755851</v>
      </c>
      <c r="K126" s="54">
        <f t="shared" ref="K126:L126" si="28">+K124/K125</f>
        <v>1.6722408026755851</v>
      </c>
      <c r="L126" s="54">
        <f t="shared" si="28"/>
        <v>1.6722408026755851</v>
      </c>
      <c r="M126" s="54">
        <f t="shared" ref="M126:N126" si="29">+M124/M125</f>
        <v>1.6722408026755851</v>
      </c>
      <c r="N126" s="54">
        <f t="shared" si="29"/>
        <v>1.6722408026755851</v>
      </c>
      <c r="O126" s="54">
        <f t="shared" ref="O126:P126" si="30">+O124/O125</f>
        <v>1.6722408026755851</v>
      </c>
      <c r="P126" s="54">
        <f t="shared" si="30"/>
        <v>1.6722408026755851</v>
      </c>
    </row>
    <row r="127" spans="1:17" ht="15.75" thickTop="1" x14ac:dyDescent="0.25"/>
    <row r="128" spans="1:17" ht="30.75" x14ac:dyDescent="0.25">
      <c r="A128" s="12" t="s">
        <v>24</v>
      </c>
      <c r="Q128" t="s">
        <v>16</v>
      </c>
    </row>
    <row r="129" spans="1:17" x14ac:dyDescent="0.25">
      <c r="A129" t="s">
        <v>108</v>
      </c>
      <c r="B129">
        <v>225000</v>
      </c>
      <c r="C129">
        <v>222000</v>
      </c>
      <c r="D129">
        <v>14696</v>
      </c>
      <c r="E129">
        <v>16159</v>
      </c>
      <c r="F129">
        <v>22558</v>
      </c>
      <c r="G129">
        <v>32030</v>
      </c>
      <c r="H129">
        <v>18746</v>
      </c>
      <c r="I129">
        <v>18833</v>
      </c>
      <c r="J129">
        <v>19187</v>
      </c>
      <c r="K129">
        <v>18425</v>
      </c>
      <c r="L129">
        <v>18425</v>
      </c>
      <c r="M129">
        <v>20419</v>
      </c>
      <c r="N129">
        <v>28170</v>
      </c>
      <c r="O129">
        <v>16826</v>
      </c>
      <c r="P129">
        <v>26170</v>
      </c>
    </row>
    <row r="130" spans="1:17" ht="15.75" thickBot="1" x14ac:dyDescent="0.3">
      <c r="B130" s="34">
        <f t="shared" ref="B130:J130" si="31">+B129/B5</f>
        <v>0.09</v>
      </c>
      <c r="C130" s="34">
        <f t="shared" si="31"/>
        <v>8.5384615384615378E-2</v>
      </c>
      <c r="D130" s="34">
        <f t="shared" si="31"/>
        <v>8.7914975163840045E-2</v>
      </c>
      <c r="E130" s="34">
        <f t="shared" si="31"/>
        <v>9.0791089921217011E-2</v>
      </c>
      <c r="F130" s="34">
        <f t="shared" si="31"/>
        <v>0.12120424731748694</v>
      </c>
      <c r="G130" s="34">
        <f t="shared" si="31"/>
        <v>0.16628077206607622</v>
      </c>
      <c r="H130" s="34">
        <f t="shared" si="31"/>
        <v>0.11971780165264978</v>
      </c>
      <c r="I130" s="34">
        <f t="shared" ref="I130" si="32">+I129/I5</f>
        <v>9.0919185092208171E-2</v>
      </c>
      <c r="J130" s="34">
        <f t="shared" si="31"/>
        <v>0.1215166945331104</v>
      </c>
      <c r="K130" s="34">
        <f t="shared" ref="K130:M130" si="33">+K129/K5</f>
        <v>7.3947576486075375E-2</v>
      </c>
      <c r="L130" s="34">
        <f t="shared" si="33"/>
        <v>6.0596194197236088E-2</v>
      </c>
      <c r="M130" s="34">
        <f t="shared" si="33"/>
        <v>9.3667285946925388E-2</v>
      </c>
      <c r="N130" s="34">
        <f t="shared" ref="N130:O130" si="34">+N129/N5</f>
        <v>0.13793474907823158</v>
      </c>
      <c r="O130" s="34">
        <f t="shared" si="34"/>
        <v>8.9271597667669414E-2</v>
      </c>
      <c r="P130" s="34">
        <f t="shared" ref="P130" si="35">+P129/P5</f>
        <v>0.13818047415386239</v>
      </c>
    </row>
    <row r="131" spans="1:17" ht="15.75" thickTop="1" x14ac:dyDescent="0.25"/>
    <row r="132" spans="1:17" ht="15.75" x14ac:dyDescent="0.25">
      <c r="A132" s="12" t="s">
        <v>117</v>
      </c>
      <c r="Q132" t="s">
        <v>20</v>
      </c>
    </row>
    <row r="133" spans="1:17" x14ac:dyDescent="0.25">
      <c r="A133" t="s">
        <v>109</v>
      </c>
      <c r="B133">
        <v>18</v>
      </c>
      <c r="C133">
        <v>18</v>
      </c>
      <c r="D133">
        <v>3</v>
      </c>
      <c r="E133">
        <v>3</v>
      </c>
      <c r="F133">
        <v>3</v>
      </c>
      <c r="G133">
        <v>3</v>
      </c>
      <c r="H133">
        <v>3</v>
      </c>
      <c r="I133">
        <v>3</v>
      </c>
      <c r="J133">
        <v>3</v>
      </c>
      <c r="K133">
        <v>3</v>
      </c>
      <c r="L133">
        <v>3</v>
      </c>
      <c r="M133">
        <v>3</v>
      </c>
      <c r="N133">
        <v>3</v>
      </c>
      <c r="O133">
        <v>3</v>
      </c>
      <c r="P133">
        <v>3</v>
      </c>
    </row>
    <row r="134" spans="1:17" ht="15.75" thickBot="1" x14ac:dyDescent="0.3">
      <c r="B134" s="32">
        <f>+B133/(B$2/1000)</f>
        <v>2.4</v>
      </c>
      <c r="C134" s="32">
        <f>+C133/(C$2/1000)</f>
        <v>2.4324324324324325</v>
      </c>
      <c r="D134" s="32">
        <v>3</v>
      </c>
      <c r="E134" s="32">
        <v>3</v>
      </c>
      <c r="F134" s="32">
        <v>3</v>
      </c>
      <c r="G134" s="32">
        <v>3</v>
      </c>
      <c r="H134" s="32">
        <v>3</v>
      </c>
      <c r="I134" s="32">
        <v>3</v>
      </c>
      <c r="J134" s="32">
        <v>3</v>
      </c>
      <c r="K134" s="32">
        <v>3</v>
      </c>
      <c r="L134" s="32">
        <v>3</v>
      </c>
      <c r="M134" s="32">
        <v>3</v>
      </c>
      <c r="N134" s="32">
        <v>3</v>
      </c>
      <c r="O134" s="32">
        <v>3</v>
      </c>
      <c r="P134" s="32">
        <v>3</v>
      </c>
    </row>
    <row r="135" spans="1:17" ht="15.75" thickTop="1" x14ac:dyDescent="0.25"/>
    <row r="136" spans="1:17" ht="30.75" x14ac:dyDescent="0.25">
      <c r="A136" s="12" t="s">
        <v>14</v>
      </c>
      <c r="Q136" t="s">
        <v>19</v>
      </c>
    </row>
    <row r="137" spans="1:17" x14ac:dyDescent="0.25">
      <c r="A137" t="s">
        <v>110</v>
      </c>
      <c r="B137">
        <v>7150</v>
      </c>
      <c r="C137">
        <v>7150</v>
      </c>
      <c r="D137">
        <v>0</v>
      </c>
      <c r="E137">
        <v>0</v>
      </c>
      <c r="F137">
        <v>0</v>
      </c>
    </row>
    <row r="138" spans="1:17" ht="15.75" thickBot="1" x14ac:dyDescent="0.3">
      <c r="B138" s="33">
        <f t="shared" ref="B138:J138" si="36">+B137/B2</f>
        <v>0.95333333333333337</v>
      </c>
      <c r="C138" s="33">
        <f t="shared" si="36"/>
        <v>0.96621621621621623</v>
      </c>
      <c r="D138" s="33">
        <f t="shared" si="36"/>
        <v>0</v>
      </c>
      <c r="E138" s="33">
        <f t="shared" si="36"/>
        <v>0</v>
      </c>
      <c r="F138" s="33">
        <f t="shared" si="36"/>
        <v>0</v>
      </c>
      <c r="G138" s="33">
        <f t="shared" si="36"/>
        <v>0</v>
      </c>
      <c r="H138" s="33">
        <f t="shared" si="36"/>
        <v>0</v>
      </c>
      <c r="I138" s="33">
        <f t="shared" ref="I138" si="37">+I137/I2</f>
        <v>0</v>
      </c>
      <c r="J138" s="33">
        <f t="shared" si="36"/>
        <v>0</v>
      </c>
      <c r="K138" s="33">
        <f t="shared" ref="K138:P138" si="38">+K137/K2</f>
        <v>0</v>
      </c>
      <c r="L138" s="33">
        <f t="shared" si="38"/>
        <v>0</v>
      </c>
      <c r="M138" s="33">
        <f t="shared" si="38"/>
        <v>0</v>
      </c>
      <c r="N138" s="33">
        <f t="shared" si="38"/>
        <v>0</v>
      </c>
      <c r="O138" s="33">
        <f t="shared" si="38"/>
        <v>0</v>
      </c>
      <c r="P138" s="33">
        <f t="shared" si="38"/>
        <v>0</v>
      </c>
    </row>
    <row r="139" spans="1:17" ht="15.75" thickTop="1" x14ac:dyDescent="0.25"/>
    <row r="141" spans="1:17" ht="30.75" x14ac:dyDescent="0.25">
      <c r="Q141" s="20" t="s">
        <v>18</v>
      </c>
    </row>
    <row r="142" spans="1:17" ht="15.75" x14ac:dyDescent="0.25">
      <c r="Q142" s="19"/>
    </row>
    <row r="143" spans="1:17" ht="15.75" x14ac:dyDescent="0.25">
      <c r="Q143" s="19" t="s">
        <v>17</v>
      </c>
    </row>
    <row r="144" spans="1:17" ht="15.75" x14ac:dyDescent="0.25">
      <c r="Q144" s="19"/>
    </row>
    <row r="145" spans="17:17" ht="30.75" x14ac:dyDescent="0.25">
      <c r="Q145" s="19" t="s">
        <v>22</v>
      </c>
    </row>
    <row r="146" spans="17:17" ht="15.75" x14ac:dyDescent="0.25">
      <c r="Q146" s="19"/>
    </row>
  </sheetData>
  <printOptions horizontalCentered="1"/>
  <pageMargins left="0.45" right="0.2" top="0.75" bottom="0.5" header="0.3" footer="0.3"/>
  <pageSetup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Dashboard</vt:lpstr>
      <vt:lpstr>Underlying data</vt:lpstr>
      <vt:lpstr>Dashboard!Print_Area</vt:lpstr>
      <vt:lpstr>'Underlying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</dc:creator>
  <cp:lastModifiedBy>villa</cp:lastModifiedBy>
  <cp:lastPrinted>2011-06-27T16:50:23Z</cp:lastPrinted>
  <dcterms:created xsi:type="dcterms:W3CDTF">2011-03-01T21:01:47Z</dcterms:created>
  <dcterms:modified xsi:type="dcterms:W3CDTF">2023-08-07T17:35:06Z</dcterms:modified>
</cp:coreProperties>
</file>